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2018" sheetId="1" r:id="rId1"/>
  </sheets>
  <definedNames>
    <definedName name="_xlnm.Print_Area" localSheetId="0">'2018'!$A$1:$Z$41</definedName>
  </definedNames>
  <calcPr fullCalcOnLoad="1"/>
</workbook>
</file>

<file path=xl/sharedStrings.xml><?xml version="1.0" encoding="utf-8"?>
<sst xmlns="http://schemas.openxmlformats.org/spreadsheetml/2006/main" count="82" uniqueCount="54">
  <si>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</si>
  <si>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</si>
  <si>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</si>
  <si>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</si>
  <si>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</si>
  <si>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</si>
  <si>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</si>
  <si>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</si>
  <si>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Cornwall Target Shooting Association</t>
  </si>
  <si>
    <t>Small-Bore Rifle Wing</t>
  </si>
  <si>
    <t>`</t>
  </si>
  <si>
    <t>City of Truro</t>
  </si>
  <si>
    <t>S. Collier</t>
  </si>
  <si>
    <t>Mrs.K. Ham</t>
  </si>
  <si>
    <t>St. Austell</t>
  </si>
  <si>
    <t>K.G. Knowles</t>
  </si>
  <si>
    <t>P. Hammond</t>
  </si>
  <si>
    <t>D. Husband</t>
  </si>
  <si>
    <t>W. Harvey</t>
  </si>
  <si>
    <t>F. Cosier</t>
  </si>
  <si>
    <t>P. Yeomans</t>
  </si>
  <si>
    <t>Bodmin</t>
  </si>
  <si>
    <t>S. Kirk</t>
  </si>
  <si>
    <t>J. Harvey</t>
  </si>
  <si>
    <t>T. Rousseau</t>
  </si>
  <si>
    <t>P. Wright</t>
  </si>
  <si>
    <t>A. Gibbs</t>
  </si>
  <si>
    <t>A. Wilson</t>
  </si>
  <si>
    <t>Launceston</t>
  </si>
  <si>
    <t>S. Ellis</t>
  </si>
  <si>
    <t>R. Burford</t>
  </si>
  <si>
    <t>W. Chand</t>
  </si>
  <si>
    <t>Mrs.N. Wannacott</t>
  </si>
  <si>
    <t>S. Byers</t>
  </si>
  <si>
    <t>J. Bradshaw</t>
  </si>
  <si>
    <t>A. Wicks</t>
  </si>
  <si>
    <t>R. Cotton</t>
  </si>
  <si>
    <t>M. Stearn</t>
  </si>
  <si>
    <t>Mrs.K.Clemments</t>
  </si>
  <si>
    <t>B. Clemments</t>
  </si>
  <si>
    <t>D. Wood</t>
  </si>
  <si>
    <t>N. Hope</t>
  </si>
  <si>
    <t>Mrs.C. Fields</t>
  </si>
  <si>
    <t>L. Cobbledick</t>
  </si>
  <si>
    <t>Division 2</t>
  </si>
  <si>
    <t>Division 3</t>
  </si>
  <si>
    <t>Division 4</t>
  </si>
  <si>
    <t>Division 5</t>
  </si>
  <si>
    <t>1pp Rule 5.2.1.</t>
  </si>
  <si>
    <t>B. Masters</t>
  </si>
  <si>
    <t>1pp Rule 5.2.3.</t>
  </si>
  <si>
    <t>O. Burford</t>
  </si>
  <si>
    <r>
      <t xml:space="preserve">Summer Indoor Individual </t>
    </r>
    <r>
      <rPr>
        <b/>
        <sz val="10"/>
        <rFont val="Arial"/>
        <family val="2"/>
      </rPr>
      <t xml:space="preserve">Benchrest </t>
    </r>
    <r>
      <rPr>
        <sz val="10"/>
        <rFont val="Arial"/>
        <family val="0"/>
      </rPr>
      <t>League</t>
    </r>
  </si>
  <si>
    <t>5pp Rule 5.2.1.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</si>
</sst>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AA1" sqref="AA1"/>
    </sheetView>
  </sheetViews>
  <sheetFormatPr defaultColWidth="8.8515625" defaultRowHeight="12.75"/>
  <cols>
    <col min="1" max="1" width="14.421875" style="0" customWidth="1"/>
    <col min="2" max="2" width="15.421875" style="0" customWidth="1"/>
    <col min="3" max="3" width="6.8515625" style="0" customWidth="1"/>
    <col min="4" max="4" width="4.421875" style="0" customWidth="1"/>
    <col min="5" max="5" width="2.00390625" style="0" customWidth="1"/>
    <col min="6" max="6" width="4.421875" style="0" customWidth="1"/>
    <col min="7" max="7" width="2.00390625" style="0" customWidth="1"/>
    <col min="8" max="8" width="4.421875" style="0" customWidth="1"/>
    <col min="9" max="9" width="2.00390625" style="0" customWidth="1"/>
    <col min="10" max="10" width="4.421875" style="0" customWidth="1"/>
    <col min="11" max="11" width="2.00390625" style="0" customWidth="1"/>
    <col min="12" max="12" width="4.421875" style="0" customWidth="1"/>
    <col min="13" max="13" width="2.00390625" style="0" customWidth="1"/>
    <col min="14" max="14" width="4.421875" style="0" customWidth="1"/>
    <col min="15" max="15" width="2.00390625" style="0" customWidth="1"/>
    <col min="16" max="16" width="4.421875" style="0" customWidth="1"/>
    <col min="17" max="17" width="2.00390625" style="0" customWidth="1"/>
    <col min="18" max="18" width="4.421875" style="0" customWidth="1"/>
    <col min="19" max="19" width="2.00390625" style="0" customWidth="1"/>
    <col min="20" max="20" width="4.421875" style="0" customWidth="1"/>
    <col min="21" max="21" width="2.00390625" style="0" customWidth="1"/>
    <col min="22" max="22" width="4.421875" style="0" customWidth="1"/>
    <col min="23" max="23" width="2.00390625" style="0" customWidth="1"/>
    <col min="24" max="24" width="8.140625" style="0" customWidth="1"/>
    <col min="25" max="25" width="5.421875" style="0" customWidth="1"/>
    <col min="26" max="26" width="6.7109375" style="0" customWidth="1"/>
  </cols>
  <sheetData>
    <row r="1" spans="3:16" ht="19.5" customHeight="1">
      <c r="C1" s="12" t="s">
        <v>8</v>
      </c>
      <c r="P1" t="s">
        <v>10</v>
      </c>
    </row>
    <row r="2" spans="1:8" ht="12">
      <c r="A2" s="25" t="s">
        <v>53</v>
      </c>
      <c r="H2" s="8" t="s">
        <v>9</v>
      </c>
    </row>
    <row r="3" spans="1:6" ht="12">
      <c r="A3" s="23" t="s">
        <v>50</v>
      </c>
      <c r="F3" s="8" t="s">
        <v>52</v>
      </c>
    </row>
    <row r="4" spans="1:10" ht="12.75" customHeight="1">
      <c r="A4" s="19" t="s">
        <v>48</v>
      </c>
      <c r="C4" s="10"/>
      <c r="D4" s="11"/>
      <c r="E4" s="9"/>
      <c r="J4" s="13">
        <v>2018</v>
      </c>
    </row>
    <row r="5" spans="1:4" ht="10.5" customHeight="1">
      <c r="A5" s="11"/>
      <c r="C5" s="2" t="s">
        <v>3</v>
      </c>
      <c r="D5" s="7" t="s">
        <v>6</v>
      </c>
    </row>
    <row r="6" spans="1:26" ht="12">
      <c r="A6" s="1" t="s">
        <v>1</v>
      </c>
      <c r="B6" s="1" t="s">
        <v>0</v>
      </c>
      <c r="C6" s="2" t="s">
        <v>2</v>
      </c>
      <c r="D6" s="4">
        <v>1</v>
      </c>
      <c r="E6" s="4"/>
      <c r="F6" s="4">
        <v>2</v>
      </c>
      <c r="G6" s="4"/>
      <c r="H6" s="4">
        <v>3</v>
      </c>
      <c r="I6" s="4"/>
      <c r="J6" s="4">
        <v>4</v>
      </c>
      <c r="K6" s="4"/>
      <c r="L6" s="4">
        <v>5</v>
      </c>
      <c r="M6" s="4"/>
      <c r="N6" s="4">
        <v>6</v>
      </c>
      <c r="O6" s="4"/>
      <c r="P6" s="4">
        <v>7</v>
      </c>
      <c r="Q6" s="4"/>
      <c r="R6" s="4">
        <v>8</v>
      </c>
      <c r="S6" s="4"/>
      <c r="T6" s="4">
        <v>9</v>
      </c>
      <c r="U6" s="4"/>
      <c r="V6" s="4">
        <v>10</v>
      </c>
      <c r="W6" s="4"/>
      <c r="X6" s="2" t="s">
        <v>4</v>
      </c>
      <c r="Y6" s="2" t="s">
        <v>5</v>
      </c>
      <c r="Z6" s="2" t="s">
        <v>2</v>
      </c>
    </row>
    <row r="7" spans="1:26" ht="12">
      <c r="A7" s="1" t="s">
        <v>7</v>
      </c>
      <c r="B7" s="1"/>
      <c r="C7" s="2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2">
      <c r="A8" s="15" t="s">
        <v>21</v>
      </c>
      <c r="B8" s="16" t="s">
        <v>23</v>
      </c>
      <c r="C8" s="17">
        <f>98.5*2</f>
        <v>197</v>
      </c>
      <c r="D8" s="14">
        <f>100+97</f>
        <v>197</v>
      </c>
      <c r="E8" s="10">
        <v>3</v>
      </c>
      <c r="F8" s="14">
        <f>100+99</f>
        <v>199</v>
      </c>
      <c r="G8" s="10">
        <v>3</v>
      </c>
      <c r="H8" s="21">
        <f>100+100</f>
        <v>200</v>
      </c>
      <c r="I8" s="10">
        <v>3</v>
      </c>
      <c r="J8" s="14">
        <f>99+99</f>
        <v>198</v>
      </c>
      <c r="K8" s="10">
        <v>3</v>
      </c>
      <c r="L8" s="21">
        <f>100+100</f>
        <v>200</v>
      </c>
      <c r="M8" s="10">
        <v>3</v>
      </c>
      <c r="N8" s="9">
        <f>98+98</f>
        <v>196</v>
      </c>
      <c r="O8" s="10">
        <v>2</v>
      </c>
      <c r="P8" s="9">
        <f>99+100</f>
        <v>199</v>
      </c>
      <c r="Q8" s="10">
        <v>3</v>
      </c>
      <c r="R8" s="9">
        <f>99+99</f>
        <v>198</v>
      </c>
      <c r="S8" s="10">
        <v>1</v>
      </c>
      <c r="T8" s="9">
        <f>98+100</f>
        <v>198</v>
      </c>
      <c r="U8" s="10">
        <v>2</v>
      </c>
      <c r="V8" s="9">
        <f>98+99</f>
        <v>197</v>
      </c>
      <c r="W8" s="10">
        <v>1</v>
      </c>
      <c r="X8" s="3">
        <f aca="true" t="shared" si="0" ref="X8:X13">SUM(D8,H8,J8,L8,N8,P8,R8,T8,V8,F8,)</f>
        <v>1982</v>
      </c>
      <c r="Y8" s="3">
        <f aca="true" t="shared" si="1" ref="Y8:Y13">SUM(E8+G8+I8+K8+M8+O8+Q8+S8+U8+W8)</f>
        <v>24</v>
      </c>
      <c r="Z8" s="5">
        <f aca="true" t="shared" si="2" ref="Z8:Z13">IF(COUNT(D8,F8,H8,J8,L8,N8,P8,R8,T8,V8),AVERAGE(D8,F8,H8,J8,L8,N8,P8,R8,T8,V8)," ")</f>
        <v>198.2</v>
      </c>
    </row>
    <row r="9" spans="1:26" ht="12">
      <c r="A9" s="15" t="s">
        <v>21</v>
      </c>
      <c r="B9" s="16" t="s">
        <v>26</v>
      </c>
      <c r="C9" s="17">
        <f>98*2</f>
        <v>196</v>
      </c>
      <c r="D9" s="9">
        <f>96+97</f>
        <v>193</v>
      </c>
      <c r="E9" s="10"/>
      <c r="F9" s="9">
        <f>99+99</f>
        <v>198</v>
      </c>
      <c r="G9" s="10">
        <v>2</v>
      </c>
      <c r="H9" s="9">
        <f>95+98</f>
        <v>193</v>
      </c>
      <c r="I9" s="10"/>
      <c r="J9" s="9">
        <f>98+98</f>
        <v>196</v>
      </c>
      <c r="K9" s="10">
        <v>1</v>
      </c>
      <c r="L9" s="14">
        <f>100+98</f>
        <v>198</v>
      </c>
      <c r="M9" s="10">
        <v>2</v>
      </c>
      <c r="N9" s="9">
        <f>99+99</f>
        <v>198</v>
      </c>
      <c r="O9" s="10">
        <v>3</v>
      </c>
      <c r="P9" s="14">
        <f>99+99</f>
        <v>198</v>
      </c>
      <c r="Q9" s="10">
        <v>2</v>
      </c>
      <c r="R9" s="14">
        <f>99+99</f>
        <v>198</v>
      </c>
      <c r="S9" s="10">
        <v>1</v>
      </c>
      <c r="T9" s="9">
        <f>95+99</f>
        <v>194</v>
      </c>
      <c r="U9" s="10">
        <v>1</v>
      </c>
      <c r="V9" s="9">
        <f>98+99</f>
        <v>197</v>
      </c>
      <c r="W9" s="10">
        <v>1</v>
      </c>
      <c r="X9" s="3">
        <f t="shared" si="0"/>
        <v>1963</v>
      </c>
      <c r="Y9" s="3">
        <f t="shared" si="1"/>
        <v>13</v>
      </c>
      <c r="Z9" s="5">
        <f t="shared" si="2"/>
        <v>196.3</v>
      </c>
    </row>
    <row r="10" spans="1:26" ht="12">
      <c r="A10" s="15" t="s">
        <v>14</v>
      </c>
      <c r="B10" s="16" t="s">
        <v>15</v>
      </c>
      <c r="C10" s="17">
        <v>194.3</v>
      </c>
      <c r="D10" s="9">
        <v>196</v>
      </c>
      <c r="E10" s="10">
        <v>2</v>
      </c>
      <c r="F10" s="9">
        <f>97+98</f>
        <v>195</v>
      </c>
      <c r="G10" s="10">
        <v>1</v>
      </c>
      <c r="H10" s="9">
        <v>199</v>
      </c>
      <c r="I10" s="10">
        <v>2</v>
      </c>
      <c r="J10" s="9">
        <f>97+95</f>
        <v>192</v>
      </c>
      <c r="K10" s="10"/>
      <c r="L10" s="9">
        <v>196</v>
      </c>
      <c r="M10" s="10">
        <v>1</v>
      </c>
      <c r="N10" s="9">
        <v>195</v>
      </c>
      <c r="O10" s="10">
        <v>1</v>
      </c>
      <c r="P10" s="14">
        <v>195</v>
      </c>
      <c r="Q10" s="10"/>
      <c r="R10" s="21">
        <f>100+100</f>
        <v>200</v>
      </c>
      <c r="S10" s="10">
        <v>3</v>
      </c>
      <c r="T10" s="9">
        <f>97+97</f>
        <v>194</v>
      </c>
      <c r="U10" s="10">
        <v>1</v>
      </c>
      <c r="V10" s="9">
        <v>195</v>
      </c>
      <c r="W10" s="10"/>
      <c r="X10" s="3">
        <f t="shared" si="0"/>
        <v>1957</v>
      </c>
      <c r="Y10" s="3">
        <f t="shared" si="1"/>
        <v>11</v>
      </c>
      <c r="Z10" s="5">
        <f t="shared" si="2"/>
        <v>195.7</v>
      </c>
    </row>
    <row r="11" spans="1:26" ht="12">
      <c r="A11" s="15" t="s">
        <v>28</v>
      </c>
      <c r="B11" s="16" t="s">
        <v>29</v>
      </c>
      <c r="C11" s="17">
        <f>98.3*2</f>
        <v>196.6</v>
      </c>
      <c r="D11" s="14">
        <f>98+94</f>
        <v>192</v>
      </c>
      <c r="E11" s="10"/>
      <c r="F11" s="14">
        <f>96+99</f>
        <v>195</v>
      </c>
      <c r="G11" s="10">
        <v>1</v>
      </c>
      <c r="H11" s="9">
        <f>99+96</f>
        <v>195</v>
      </c>
      <c r="I11" s="10"/>
      <c r="J11" s="9">
        <f>97+97</f>
        <v>194</v>
      </c>
      <c r="K11" s="10"/>
      <c r="L11" s="9">
        <f>98+100</f>
        <v>198</v>
      </c>
      <c r="M11" s="10">
        <v>2</v>
      </c>
      <c r="N11" s="14">
        <f>100+94</f>
        <v>194</v>
      </c>
      <c r="O11" s="10"/>
      <c r="P11" s="9">
        <f>94+97</f>
        <v>191</v>
      </c>
      <c r="Q11" s="10"/>
      <c r="R11" s="9">
        <f>99+100</f>
        <v>199</v>
      </c>
      <c r="S11" s="10">
        <v>2</v>
      </c>
      <c r="T11" s="14">
        <f>99+100</f>
        <v>199</v>
      </c>
      <c r="U11" s="10">
        <v>3</v>
      </c>
      <c r="V11" s="9">
        <f>99+100</f>
        <v>199</v>
      </c>
      <c r="W11" s="10">
        <v>2</v>
      </c>
      <c r="X11" s="3">
        <f t="shared" si="0"/>
        <v>1956</v>
      </c>
      <c r="Y11" s="3">
        <f t="shared" si="1"/>
        <v>10</v>
      </c>
      <c r="Z11" s="5">
        <f t="shared" si="2"/>
        <v>195.6</v>
      </c>
    </row>
    <row r="12" spans="1:26" ht="12">
      <c r="A12" s="15" t="s">
        <v>28</v>
      </c>
      <c r="B12" s="16" t="s">
        <v>30</v>
      </c>
      <c r="C12" s="17">
        <f>97.5*2</f>
        <v>195</v>
      </c>
      <c r="D12" s="9">
        <f>98+99</f>
        <v>197</v>
      </c>
      <c r="E12" s="10">
        <v>3</v>
      </c>
      <c r="F12" s="9">
        <f>95+99</f>
        <v>194</v>
      </c>
      <c r="G12" s="10"/>
      <c r="H12" s="9">
        <f>99+97</f>
        <v>196</v>
      </c>
      <c r="I12" s="10">
        <v>1</v>
      </c>
      <c r="J12" s="9">
        <f>94+95</f>
        <v>189</v>
      </c>
      <c r="K12" s="10"/>
      <c r="L12" s="9">
        <f>97+97</f>
        <v>194</v>
      </c>
      <c r="M12" s="10"/>
      <c r="N12" s="9">
        <f>95+99</f>
        <v>194</v>
      </c>
      <c r="O12" s="10"/>
      <c r="P12" s="14">
        <f>98+98</f>
        <v>196</v>
      </c>
      <c r="Q12" s="10">
        <v>1</v>
      </c>
      <c r="R12" s="14">
        <f>99+100</f>
        <v>199</v>
      </c>
      <c r="S12" s="10">
        <v>2</v>
      </c>
      <c r="T12" s="9">
        <f>94+98</f>
        <v>192</v>
      </c>
      <c r="U12" s="10"/>
      <c r="V12" s="21">
        <f>100+100</f>
        <v>200</v>
      </c>
      <c r="W12" s="10">
        <v>3</v>
      </c>
      <c r="X12" s="3">
        <f t="shared" si="0"/>
        <v>1951</v>
      </c>
      <c r="Y12" s="3">
        <f t="shared" si="1"/>
        <v>10</v>
      </c>
      <c r="Z12" s="5">
        <f t="shared" si="2"/>
        <v>195.1</v>
      </c>
    </row>
    <row r="13" spans="1:26" ht="12">
      <c r="A13" s="15" t="s">
        <v>14</v>
      </c>
      <c r="B13" s="16" t="s">
        <v>27</v>
      </c>
      <c r="C13" s="17">
        <v>196</v>
      </c>
      <c r="D13" s="9">
        <v>195</v>
      </c>
      <c r="E13" s="10">
        <v>1</v>
      </c>
      <c r="F13" s="9">
        <f>97+95</f>
        <v>192</v>
      </c>
      <c r="G13" s="10"/>
      <c r="H13" s="9">
        <v>192</v>
      </c>
      <c r="I13" s="10"/>
      <c r="J13" s="9">
        <f>100+97</f>
        <v>197</v>
      </c>
      <c r="K13" s="10">
        <v>2</v>
      </c>
      <c r="L13" s="9">
        <v>195</v>
      </c>
      <c r="M13" s="10"/>
      <c r="N13" s="9">
        <v>189</v>
      </c>
      <c r="O13" s="10"/>
      <c r="P13" s="14">
        <v>191</v>
      </c>
      <c r="Q13" s="10"/>
      <c r="R13" s="14"/>
      <c r="S13" s="10"/>
      <c r="T13" s="14">
        <f>97+97</f>
        <v>194</v>
      </c>
      <c r="U13" s="10">
        <v>1</v>
      </c>
      <c r="V13" s="9"/>
      <c r="W13" s="10"/>
      <c r="X13" s="3">
        <f t="shared" si="0"/>
        <v>1545</v>
      </c>
      <c r="Y13" s="3">
        <f t="shared" si="1"/>
        <v>4</v>
      </c>
      <c r="Z13" s="5">
        <f t="shared" si="2"/>
        <v>193.125</v>
      </c>
    </row>
    <row r="14" spans="1:26" ht="12">
      <c r="A14" s="1" t="s">
        <v>44</v>
      </c>
      <c r="B14" s="16"/>
      <c r="C14" s="17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  <c r="P14" s="14"/>
      <c r="Q14" s="10"/>
      <c r="R14" s="14"/>
      <c r="S14" s="10"/>
      <c r="T14" s="9"/>
      <c r="U14" s="10"/>
      <c r="V14" s="9"/>
      <c r="W14" s="10"/>
      <c r="X14" s="3"/>
      <c r="Y14" s="3"/>
      <c r="Z14" s="5"/>
    </row>
    <row r="15" spans="1:26" ht="12">
      <c r="A15" s="15" t="s">
        <v>14</v>
      </c>
      <c r="B15" s="16" t="s">
        <v>16</v>
      </c>
      <c r="C15" s="17">
        <v>191.3</v>
      </c>
      <c r="D15" s="9">
        <v>198</v>
      </c>
      <c r="E15" s="10">
        <v>3</v>
      </c>
      <c r="F15" s="9">
        <f>97+98</f>
        <v>195</v>
      </c>
      <c r="G15" s="10">
        <v>3</v>
      </c>
      <c r="H15" s="9">
        <v>194</v>
      </c>
      <c r="I15" s="10">
        <v>3</v>
      </c>
      <c r="J15" s="9">
        <f>96+95</f>
        <v>191</v>
      </c>
      <c r="K15" s="10">
        <v>3</v>
      </c>
      <c r="L15" s="9">
        <v>195</v>
      </c>
      <c r="M15" s="10">
        <v>3</v>
      </c>
      <c r="N15" s="9">
        <v>195</v>
      </c>
      <c r="O15" s="10">
        <v>3</v>
      </c>
      <c r="P15" s="14">
        <v>195</v>
      </c>
      <c r="Q15" s="10">
        <v>3</v>
      </c>
      <c r="R15" s="14">
        <f>99+98</f>
        <v>197</v>
      </c>
      <c r="S15" s="10">
        <v>3</v>
      </c>
      <c r="T15" s="9">
        <f>100+97</f>
        <v>197</v>
      </c>
      <c r="U15" s="10">
        <v>3</v>
      </c>
      <c r="V15" s="9">
        <v>194</v>
      </c>
      <c r="W15" s="10">
        <v>3</v>
      </c>
      <c r="X15" s="3">
        <f aca="true" t="shared" si="3" ref="X15:X20">SUM(D15,H15,J15,L15,N15,P15,R15,T15,V15,F15,)</f>
        <v>1951</v>
      </c>
      <c r="Y15" s="3">
        <f aca="true" t="shared" si="4" ref="Y15:Y20">SUM(E15+G15+I15+K15+M15+O15+Q15+S15+U15+W15)</f>
        <v>30</v>
      </c>
      <c r="Z15" s="5">
        <f aca="true" t="shared" si="5" ref="Z15:Z20">IF(COUNT(D15,F15,H15,J15,L15,N15,P15,R15,T15,V15),AVERAGE(D15,F15,H15,J15,L15,N15,P15,R15,T15,V15)," ")</f>
        <v>195.1</v>
      </c>
    </row>
    <row r="16" spans="1:26" ht="12">
      <c r="A16" s="15" t="s">
        <v>21</v>
      </c>
      <c r="B16" s="16" t="s">
        <v>25</v>
      </c>
      <c r="C16" s="17">
        <f>96.2*2</f>
        <v>192.4</v>
      </c>
      <c r="D16" s="9">
        <f>100+96</f>
        <v>196</v>
      </c>
      <c r="E16" s="10">
        <v>2</v>
      </c>
      <c r="F16" s="9">
        <f>93+94</f>
        <v>187</v>
      </c>
      <c r="G16" s="10"/>
      <c r="H16" s="9">
        <f>95+98</f>
        <v>193</v>
      </c>
      <c r="I16" s="10">
        <v>2</v>
      </c>
      <c r="J16" s="9">
        <f>94+97</f>
        <v>191</v>
      </c>
      <c r="K16" s="10">
        <v>3</v>
      </c>
      <c r="L16" s="9">
        <f>95+91</f>
        <v>186</v>
      </c>
      <c r="M16" s="10">
        <v>1</v>
      </c>
      <c r="N16" s="9">
        <f>93+95</f>
        <v>188</v>
      </c>
      <c r="O16" s="10">
        <v>2</v>
      </c>
      <c r="P16" s="14">
        <f>99+96</f>
        <v>195</v>
      </c>
      <c r="Q16" s="10">
        <v>3</v>
      </c>
      <c r="R16" s="14">
        <f>95+93</f>
        <v>188</v>
      </c>
      <c r="S16" s="10"/>
      <c r="T16" s="9">
        <f>92+98</f>
        <v>190</v>
      </c>
      <c r="U16" s="10">
        <v>1</v>
      </c>
      <c r="V16" s="9">
        <f>98+94</f>
        <v>192</v>
      </c>
      <c r="W16" s="10">
        <v>2</v>
      </c>
      <c r="X16" s="3">
        <f t="shared" si="3"/>
        <v>1906</v>
      </c>
      <c r="Y16" s="3">
        <f t="shared" si="4"/>
        <v>16</v>
      </c>
      <c r="Z16" s="5">
        <f t="shared" si="5"/>
        <v>190.6</v>
      </c>
    </row>
    <row r="17" spans="1:26" ht="12">
      <c r="A17" s="15" t="s">
        <v>14</v>
      </c>
      <c r="B17" s="16" t="s">
        <v>20</v>
      </c>
      <c r="C17" s="17">
        <v>191.6</v>
      </c>
      <c r="D17" s="9">
        <v>191</v>
      </c>
      <c r="E17" s="10"/>
      <c r="F17" s="9">
        <f>93+94</f>
        <v>187</v>
      </c>
      <c r="G17" s="10"/>
      <c r="H17" s="9">
        <v>186</v>
      </c>
      <c r="I17" s="10"/>
      <c r="J17" s="9">
        <f>98+92</f>
        <v>190</v>
      </c>
      <c r="K17" s="10">
        <v>2</v>
      </c>
      <c r="L17" s="9">
        <v>186</v>
      </c>
      <c r="M17" s="10">
        <v>1</v>
      </c>
      <c r="N17" s="9">
        <v>187</v>
      </c>
      <c r="O17" s="10">
        <v>1</v>
      </c>
      <c r="P17" s="14">
        <v>192</v>
      </c>
      <c r="Q17" s="10">
        <v>2</v>
      </c>
      <c r="R17" s="14">
        <f>96+96</f>
        <v>192</v>
      </c>
      <c r="S17" s="10">
        <v>2</v>
      </c>
      <c r="T17" s="9">
        <f>95+96</f>
        <v>191</v>
      </c>
      <c r="U17" s="10">
        <v>2</v>
      </c>
      <c r="V17" s="9">
        <v>191</v>
      </c>
      <c r="W17" s="10">
        <v>1</v>
      </c>
      <c r="X17" s="3">
        <f t="shared" si="3"/>
        <v>1893</v>
      </c>
      <c r="Y17" s="3">
        <f t="shared" si="4"/>
        <v>11</v>
      </c>
      <c r="Z17" s="5">
        <f t="shared" si="5"/>
        <v>189.3</v>
      </c>
    </row>
    <row r="18" spans="1:26" ht="12">
      <c r="A18" s="15" t="s">
        <v>28</v>
      </c>
      <c r="B18" s="16" t="s">
        <v>32</v>
      </c>
      <c r="C18" s="17">
        <f>94.3*2</f>
        <v>188.6</v>
      </c>
      <c r="D18" s="9">
        <f>97+98</f>
        <v>195</v>
      </c>
      <c r="E18" s="10">
        <v>1</v>
      </c>
      <c r="F18" s="9">
        <f>96+98</f>
        <v>194</v>
      </c>
      <c r="G18" s="10">
        <v>2</v>
      </c>
      <c r="H18" s="9">
        <f>96+95</f>
        <v>191</v>
      </c>
      <c r="I18" s="10"/>
      <c r="J18" s="9">
        <f>95+96</f>
        <v>191</v>
      </c>
      <c r="K18" s="10">
        <v>3</v>
      </c>
      <c r="L18" s="9">
        <f>85+93</f>
        <v>178</v>
      </c>
      <c r="M18" s="10"/>
      <c r="N18" s="9">
        <f>92+89</f>
        <v>181</v>
      </c>
      <c r="O18" s="10"/>
      <c r="P18" s="14">
        <f>93+89</f>
        <v>182</v>
      </c>
      <c r="Q18" s="10"/>
      <c r="R18" s="14">
        <f>91+97</f>
        <v>188</v>
      </c>
      <c r="S18" s="10"/>
      <c r="T18" s="9">
        <f>94+97</f>
        <v>191</v>
      </c>
      <c r="U18" s="10">
        <v>1</v>
      </c>
      <c r="V18" s="9">
        <f>94+98</f>
        <v>192</v>
      </c>
      <c r="W18" s="10">
        <v>2</v>
      </c>
      <c r="X18" s="3">
        <f t="shared" si="3"/>
        <v>1883</v>
      </c>
      <c r="Y18" s="3">
        <f t="shared" si="4"/>
        <v>9</v>
      </c>
      <c r="Z18" s="5">
        <f t="shared" si="5"/>
        <v>188.3</v>
      </c>
    </row>
    <row r="19" spans="1:26" ht="12">
      <c r="A19" s="15" t="s">
        <v>28</v>
      </c>
      <c r="B19" s="16" t="s">
        <v>31</v>
      </c>
      <c r="C19" s="17">
        <f>95.1*2</f>
        <v>190.2</v>
      </c>
      <c r="D19" s="9">
        <f>95+98</f>
        <v>193</v>
      </c>
      <c r="E19" s="10"/>
      <c r="F19" s="9">
        <f>95+95</f>
        <v>190</v>
      </c>
      <c r="G19" s="10">
        <v>1</v>
      </c>
      <c r="H19" s="9">
        <f>98+94</f>
        <v>192</v>
      </c>
      <c r="I19" s="10">
        <v>1</v>
      </c>
      <c r="J19" s="9"/>
      <c r="K19" s="10"/>
      <c r="L19" s="9">
        <f>93+94</f>
        <v>187</v>
      </c>
      <c r="M19" s="10">
        <v>2</v>
      </c>
      <c r="N19" s="9">
        <f>91+96</f>
        <v>187</v>
      </c>
      <c r="O19" s="10">
        <v>1</v>
      </c>
      <c r="P19" s="14">
        <f>95+94</f>
        <v>189</v>
      </c>
      <c r="Q19" s="10">
        <v>1</v>
      </c>
      <c r="R19" s="14">
        <f>95+94</f>
        <v>189</v>
      </c>
      <c r="S19" s="10">
        <v>1</v>
      </c>
      <c r="T19" s="9">
        <f>93+91</f>
        <v>184</v>
      </c>
      <c r="U19" s="10"/>
      <c r="V19" s="9"/>
      <c r="W19" s="10"/>
      <c r="X19" s="3">
        <f t="shared" si="3"/>
        <v>1511</v>
      </c>
      <c r="Y19" s="3">
        <f t="shared" si="4"/>
        <v>7</v>
      </c>
      <c r="Z19" s="5">
        <f t="shared" si="5"/>
        <v>188.875</v>
      </c>
    </row>
    <row r="20" spans="1:26" ht="12">
      <c r="A20" s="15" t="s">
        <v>28</v>
      </c>
      <c r="B20" s="16" t="s">
        <v>33</v>
      </c>
      <c r="C20" s="17">
        <f>94*2</f>
        <v>188</v>
      </c>
      <c r="D20" s="9">
        <f>96+99</f>
        <v>195</v>
      </c>
      <c r="E20" s="10">
        <v>1</v>
      </c>
      <c r="F20" s="9">
        <f>94+92</f>
        <v>186</v>
      </c>
      <c r="G20" s="10"/>
      <c r="H20" s="9">
        <f>94+93</f>
        <v>187</v>
      </c>
      <c r="I20" s="10"/>
      <c r="J20" s="9">
        <f>91+96</f>
        <v>187</v>
      </c>
      <c r="K20" s="10">
        <v>1</v>
      </c>
      <c r="L20" s="9">
        <f>90+93</f>
        <v>183</v>
      </c>
      <c r="M20" s="10"/>
      <c r="N20" s="9"/>
      <c r="O20" s="10"/>
      <c r="P20" s="14"/>
      <c r="Q20" s="10"/>
      <c r="R20" s="14"/>
      <c r="S20" s="10"/>
      <c r="T20" s="9"/>
      <c r="U20" s="10"/>
      <c r="V20" s="9"/>
      <c r="W20" s="10"/>
      <c r="X20" s="3">
        <f t="shared" si="3"/>
        <v>938</v>
      </c>
      <c r="Y20" s="3">
        <f t="shared" si="4"/>
        <v>2</v>
      </c>
      <c r="Z20" s="5">
        <f t="shared" si="5"/>
        <v>187.6</v>
      </c>
    </row>
    <row r="21" spans="1:26" ht="12">
      <c r="A21" s="1" t="s">
        <v>45</v>
      </c>
      <c r="B21" s="16"/>
      <c r="C21" s="17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  <c r="P21" s="14"/>
      <c r="Q21" s="10"/>
      <c r="R21" s="14"/>
      <c r="S21" s="10"/>
      <c r="T21" s="9"/>
      <c r="U21" s="10"/>
      <c r="V21" s="9"/>
      <c r="W21" s="10"/>
      <c r="X21" s="3"/>
      <c r="Y21" s="3"/>
      <c r="Z21" s="5"/>
    </row>
    <row r="22" spans="1:26" ht="12">
      <c r="A22" s="15" t="s">
        <v>28</v>
      </c>
      <c r="B22" s="16" t="s">
        <v>34</v>
      </c>
      <c r="C22" s="17">
        <f>93.2*2</f>
        <v>186.4</v>
      </c>
      <c r="D22" s="9">
        <f>97+95</f>
        <v>192</v>
      </c>
      <c r="E22" s="10">
        <v>3</v>
      </c>
      <c r="F22" s="18">
        <f>95+97</f>
        <v>192</v>
      </c>
      <c r="G22" s="10">
        <v>3</v>
      </c>
      <c r="H22" s="9">
        <f>97+94</f>
        <v>191</v>
      </c>
      <c r="I22" s="10">
        <v>3</v>
      </c>
      <c r="J22" s="9">
        <f>91+97</f>
        <v>188</v>
      </c>
      <c r="K22" s="10">
        <v>1</v>
      </c>
      <c r="L22" s="9">
        <f>97+97</f>
        <v>194</v>
      </c>
      <c r="M22" s="10">
        <v>3</v>
      </c>
      <c r="N22" s="9">
        <f>92+92</f>
        <v>184</v>
      </c>
      <c r="O22" s="10">
        <v>2</v>
      </c>
      <c r="P22" s="14">
        <f>92+92</f>
        <v>184</v>
      </c>
      <c r="Q22" s="10"/>
      <c r="R22" s="14">
        <f>93+97</f>
        <v>190</v>
      </c>
      <c r="S22" s="10">
        <v>1</v>
      </c>
      <c r="T22" s="9">
        <f>97+97</f>
        <v>194</v>
      </c>
      <c r="U22" s="10">
        <v>3</v>
      </c>
      <c r="V22" s="9">
        <f>90+95</f>
        <v>185</v>
      </c>
      <c r="W22" s="10">
        <v>2</v>
      </c>
      <c r="X22" s="3">
        <f aca="true" t="shared" si="6" ref="X22:X27">SUM(D22,H22,J22,L22,N22,P22,R22,T22,V22,F22,)</f>
        <v>1894</v>
      </c>
      <c r="Y22" s="3">
        <f aca="true" t="shared" si="7" ref="Y22:Y27">SUM(E22+G22+I22+K22+M22+O22+Q22+S22+U22+W22)</f>
        <v>21</v>
      </c>
      <c r="Z22" s="5">
        <f aca="true" t="shared" si="8" ref="Z22:Z27">IF(COUNT(D22,F22,H22,J22,L22,N22,P22,R22,T22,V22),AVERAGE(D22,F22,H22,J22,L22,N22,P22,R22,T22,V22)," ")</f>
        <v>189.4</v>
      </c>
    </row>
    <row r="23" spans="1:26" ht="12">
      <c r="A23" s="15" t="s">
        <v>21</v>
      </c>
      <c r="B23" s="16" t="s">
        <v>22</v>
      </c>
      <c r="C23" s="17">
        <v>184</v>
      </c>
      <c r="D23" s="9">
        <f>93+92</f>
        <v>185</v>
      </c>
      <c r="E23" s="10">
        <v>1</v>
      </c>
      <c r="F23" s="9">
        <f>93+93</f>
        <v>186</v>
      </c>
      <c r="G23" s="10">
        <v>1</v>
      </c>
      <c r="H23" s="9">
        <f>94+95</f>
        <v>189</v>
      </c>
      <c r="I23" s="10">
        <v>2</v>
      </c>
      <c r="J23" s="9">
        <f>92+96</f>
        <v>188</v>
      </c>
      <c r="K23" s="10">
        <v>1</v>
      </c>
      <c r="L23" s="9">
        <f>92+92</f>
        <v>184</v>
      </c>
      <c r="M23" s="10">
        <v>1</v>
      </c>
      <c r="N23" s="9">
        <f>96+88</f>
        <v>184</v>
      </c>
      <c r="O23" s="10">
        <v>2</v>
      </c>
      <c r="P23" s="14">
        <f>96+99</f>
        <v>195</v>
      </c>
      <c r="Q23" s="10">
        <v>3</v>
      </c>
      <c r="R23" s="14">
        <f>94+98</f>
        <v>192</v>
      </c>
      <c r="S23" s="10">
        <v>3</v>
      </c>
      <c r="T23" s="9">
        <f>97+96</f>
        <v>193</v>
      </c>
      <c r="U23" s="10">
        <v>2</v>
      </c>
      <c r="V23" s="9">
        <f>96+96</f>
        <v>192</v>
      </c>
      <c r="W23" s="10">
        <v>3</v>
      </c>
      <c r="X23" s="3">
        <f t="shared" si="6"/>
        <v>1888</v>
      </c>
      <c r="Y23" s="3">
        <f t="shared" si="7"/>
        <v>19</v>
      </c>
      <c r="Z23" s="5">
        <f t="shared" si="8"/>
        <v>188.8</v>
      </c>
    </row>
    <row r="24" spans="1:26" ht="12">
      <c r="A24" s="15" t="s">
        <v>28</v>
      </c>
      <c r="B24" s="16" t="s">
        <v>39</v>
      </c>
      <c r="C24" s="17">
        <f>91.8*2</f>
        <v>183.6</v>
      </c>
      <c r="D24" s="9">
        <f>93+96</f>
        <v>189</v>
      </c>
      <c r="E24" s="10">
        <v>2</v>
      </c>
      <c r="F24" s="9">
        <f>94+97</f>
        <v>191</v>
      </c>
      <c r="G24" s="10">
        <v>2</v>
      </c>
      <c r="H24" s="9">
        <f>94+95</f>
        <v>189</v>
      </c>
      <c r="I24" s="10">
        <v>2</v>
      </c>
      <c r="J24" s="9">
        <f>95+96</f>
        <v>191</v>
      </c>
      <c r="K24" s="10">
        <v>3</v>
      </c>
      <c r="L24" s="9">
        <f>93+90</f>
        <v>183</v>
      </c>
      <c r="M24" s="10"/>
      <c r="N24" s="9">
        <f>95+94</f>
        <v>189</v>
      </c>
      <c r="O24" s="10">
        <v>3</v>
      </c>
      <c r="P24" s="14">
        <f>92+95</f>
        <v>187</v>
      </c>
      <c r="Q24" s="10">
        <v>1</v>
      </c>
      <c r="R24" s="14">
        <f>95+95</f>
        <v>190</v>
      </c>
      <c r="S24" s="10">
        <v>1</v>
      </c>
      <c r="T24" s="9">
        <f>93+89</f>
        <v>182</v>
      </c>
      <c r="U24" s="10"/>
      <c r="V24" s="9">
        <f>88+91</f>
        <v>179</v>
      </c>
      <c r="W24" s="10">
        <v>1</v>
      </c>
      <c r="X24" s="3">
        <f t="shared" si="6"/>
        <v>1870</v>
      </c>
      <c r="Y24" s="3">
        <f t="shared" si="7"/>
        <v>15</v>
      </c>
      <c r="Z24" s="5">
        <f t="shared" si="8"/>
        <v>187</v>
      </c>
    </row>
    <row r="25" spans="1:26" ht="12">
      <c r="A25" s="15" t="s">
        <v>14</v>
      </c>
      <c r="B25" s="16" t="s">
        <v>17</v>
      </c>
      <c r="C25" s="17">
        <v>183.7</v>
      </c>
      <c r="D25" s="9">
        <v>182</v>
      </c>
      <c r="E25" s="10"/>
      <c r="F25" s="9">
        <f>91+87</f>
        <v>178</v>
      </c>
      <c r="G25" s="10"/>
      <c r="H25" s="9">
        <v>173</v>
      </c>
      <c r="I25" s="10">
        <v>1</v>
      </c>
      <c r="J25" s="9">
        <f>93+96</f>
        <v>189</v>
      </c>
      <c r="K25" s="10">
        <v>2</v>
      </c>
      <c r="L25" s="9">
        <v>188</v>
      </c>
      <c r="M25" s="10">
        <v>2</v>
      </c>
      <c r="N25" s="9">
        <v>178</v>
      </c>
      <c r="O25" s="10">
        <v>1</v>
      </c>
      <c r="P25" s="9">
        <v>192</v>
      </c>
      <c r="Q25" s="10">
        <v>2</v>
      </c>
      <c r="R25" s="9">
        <f>89+80</f>
        <v>169</v>
      </c>
      <c r="S25" s="10"/>
      <c r="T25" s="9">
        <f>91+97</f>
        <v>188</v>
      </c>
      <c r="U25" s="10">
        <v>1</v>
      </c>
      <c r="V25" s="9">
        <v>165</v>
      </c>
      <c r="W25" s="10"/>
      <c r="X25" s="3">
        <f t="shared" si="6"/>
        <v>1802</v>
      </c>
      <c r="Y25" s="3">
        <f t="shared" si="7"/>
        <v>9</v>
      </c>
      <c r="Z25" s="5">
        <f t="shared" si="8"/>
        <v>180.2</v>
      </c>
    </row>
    <row r="26" spans="1:26" ht="12">
      <c r="A26" s="15" t="s">
        <v>28</v>
      </c>
      <c r="B26" s="16" t="s">
        <v>35</v>
      </c>
      <c r="C26" s="17">
        <f>93.2*2</f>
        <v>186.4</v>
      </c>
      <c r="D26" s="9">
        <f>65+4</f>
        <v>69</v>
      </c>
      <c r="E26" s="10"/>
      <c r="F26" s="9"/>
      <c r="G26" s="10"/>
      <c r="H26" s="9"/>
      <c r="I26" s="10"/>
      <c r="J26" s="9">
        <f>96+95</f>
        <v>191</v>
      </c>
      <c r="K26" s="10">
        <v>3</v>
      </c>
      <c r="L26" s="9">
        <f>94+94</f>
        <v>188</v>
      </c>
      <c r="M26" s="10">
        <v>2</v>
      </c>
      <c r="N26" s="9"/>
      <c r="O26" s="10"/>
      <c r="P26" s="14">
        <f>92+90</f>
        <v>182</v>
      </c>
      <c r="Q26" s="10"/>
      <c r="R26" s="14">
        <f>94+97</f>
        <v>191</v>
      </c>
      <c r="S26" s="10">
        <v>2</v>
      </c>
      <c r="T26" s="9"/>
      <c r="U26" s="10"/>
      <c r="V26" s="9"/>
      <c r="W26" s="10"/>
      <c r="X26" s="3">
        <f t="shared" si="6"/>
        <v>821</v>
      </c>
      <c r="Y26" s="3">
        <f t="shared" si="7"/>
        <v>7</v>
      </c>
      <c r="Z26" s="5">
        <f t="shared" si="8"/>
        <v>164.2</v>
      </c>
    </row>
    <row r="27" spans="1:26" ht="12">
      <c r="A27" s="15" t="s">
        <v>28</v>
      </c>
      <c r="B27" s="16" t="s">
        <v>36</v>
      </c>
      <c r="C27" s="17">
        <f>92.7*2</f>
        <v>185.4</v>
      </c>
      <c r="D27" s="9"/>
      <c r="E27" s="10"/>
      <c r="F27" s="9"/>
      <c r="G27" s="10"/>
      <c r="H27" s="9"/>
      <c r="I27" s="10"/>
      <c r="J27" s="9"/>
      <c r="K27" s="10"/>
      <c r="L27" s="9"/>
      <c r="M27" s="10"/>
      <c r="N27" s="9"/>
      <c r="O27" s="10"/>
      <c r="P27" s="14"/>
      <c r="Q27" s="10"/>
      <c r="R27" s="14"/>
      <c r="S27" s="10"/>
      <c r="T27" s="9"/>
      <c r="U27" s="10"/>
      <c r="V27" s="9"/>
      <c r="W27" s="10"/>
      <c r="X27" s="3">
        <f t="shared" si="6"/>
        <v>0</v>
      </c>
      <c r="Y27" s="3">
        <f t="shared" si="7"/>
        <v>0</v>
      </c>
      <c r="Z27" s="5" t="str">
        <f t="shared" si="8"/>
        <v> </v>
      </c>
    </row>
    <row r="28" spans="1:26" ht="12">
      <c r="A28" s="1" t="s">
        <v>46</v>
      </c>
      <c r="B28" s="16"/>
      <c r="C28" s="17"/>
      <c r="D28" s="9"/>
      <c r="E28" s="10"/>
      <c r="F28" s="9"/>
      <c r="G28" s="10"/>
      <c r="H28" s="9"/>
      <c r="I28" s="10"/>
      <c r="J28" s="9"/>
      <c r="K28" s="10"/>
      <c r="L28" s="9"/>
      <c r="M28" s="10"/>
      <c r="N28" s="9"/>
      <c r="O28" s="10"/>
      <c r="P28" s="14"/>
      <c r="Q28" s="10"/>
      <c r="R28" s="14"/>
      <c r="S28" s="10"/>
      <c r="T28" s="9"/>
      <c r="U28" s="10"/>
      <c r="V28" s="9"/>
      <c r="W28" s="10"/>
      <c r="X28" s="3"/>
      <c r="Y28" s="3"/>
      <c r="Z28" s="5"/>
    </row>
    <row r="29" spans="1:26" ht="12">
      <c r="A29" s="15" t="s">
        <v>11</v>
      </c>
      <c r="B29" s="16" t="s">
        <v>12</v>
      </c>
      <c r="C29" s="17">
        <v>180.1</v>
      </c>
      <c r="D29" s="9">
        <f>92+96</f>
        <v>188</v>
      </c>
      <c r="E29" s="15">
        <v>3</v>
      </c>
      <c r="F29" s="9">
        <f>97+97</f>
        <v>194</v>
      </c>
      <c r="G29" s="10">
        <v>3</v>
      </c>
      <c r="H29" s="9">
        <f>99+97</f>
        <v>196</v>
      </c>
      <c r="I29" s="10">
        <v>3</v>
      </c>
      <c r="J29" s="9">
        <f>93+98</f>
        <v>191</v>
      </c>
      <c r="K29" s="10">
        <v>3</v>
      </c>
      <c r="L29" s="9">
        <f>95+92</f>
        <v>187</v>
      </c>
      <c r="M29" s="10">
        <v>2</v>
      </c>
      <c r="N29" s="9">
        <f>96+93</f>
        <v>189</v>
      </c>
      <c r="O29" s="10">
        <v>3</v>
      </c>
      <c r="P29" s="9">
        <f>91+94</f>
        <v>185</v>
      </c>
      <c r="Q29" s="10"/>
      <c r="R29" s="9">
        <f>92+94</f>
        <v>186</v>
      </c>
      <c r="S29" s="10">
        <v>2</v>
      </c>
      <c r="T29" s="9">
        <f>90+93</f>
        <v>183</v>
      </c>
      <c r="U29" s="10"/>
      <c r="V29" s="9">
        <f>95+89</f>
        <v>184</v>
      </c>
      <c r="W29" s="10">
        <v>1</v>
      </c>
      <c r="X29" s="3">
        <f aca="true" t="shared" si="9" ref="X29:X34">SUM(D29,H29,J29,L29,N29,P29,R29,T29,V29,F29,)</f>
        <v>1883</v>
      </c>
      <c r="Y29" s="3">
        <f aca="true" t="shared" si="10" ref="Y29:Y34">SUM(E29+G29+I29+K29+M29+O29+Q29+S29+U29+W29)</f>
        <v>20</v>
      </c>
      <c r="Z29" s="5">
        <f aca="true" t="shared" si="11" ref="Z29:Z34">IF(COUNT(D29,F29,H29,J29,L29,N29,P29,R29,T29,V29),AVERAGE(D29,F29,H29,J29,L29,N29,P29,R29,T29,V29)," ")</f>
        <v>188.3</v>
      </c>
    </row>
    <row r="30" spans="1:26" ht="12">
      <c r="A30" s="15" t="s">
        <v>28</v>
      </c>
      <c r="B30" s="16" t="s">
        <v>37</v>
      </c>
      <c r="C30" s="17">
        <f>91.5*2</f>
        <v>183</v>
      </c>
      <c r="D30" s="9">
        <f>92+94</f>
        <v>186</v>
      </c>
      <c r="E30" s="10">
        <v>2</v>
      </c>
      <c r="F30" s="9">
        <f>91+90</f>
        <v>181</v>
      </c>
      <c r="G30" s="10"/>
      <c r="H30" s="9">
        <f>91+85</f>
        <v>176</v>
      </c>
      <c r="I30" s="10"/>
      <c r="J30" s="9">
        <f>91+96</f>
        <v>187</v>
      </c>
      <c r="K30" s="10">
        <v>1</v>
      </c>
      <c r="L30" s="9">
        <f>92+97</f>
        <v>189</v>
      </c>
      <c r="M30" s="10">
        <v>3</v>
      </c>
      <c r="N30" s="9">
        <f>92+95</f>
        <v>187</v>
      </c>
      <c r="O30" s="10">
        <v>2</v>
      </c>
      <c r="P30" s="14">
        <f>95+92</f>
        <v>187</v>
      </c>
      <c r="Q30" s="10">
        <v>1</v>
      </c>
      <c r="R30" s="14">
        <f>96+90</f>
        <v>186</v>
      </c>
      <c r="S30" s="10">
        <v>2</v>
      </c>
      <c r="T30" s="9">
        <f>96+94</f>
        <v>190</v>
      </c>
      <c r="U30" s="10">
        <v>3</v>
      </c>
      <c r="V30" s="9">
        <f>94+96</f>
        <v>190</v>
      </c>
      <c r="W30" s="10">
        <v>2</v>
      </c>
      <c r="X30" s="3">
        <f t="shared" si="9"/>
        <v>1859</v>
      </c>
      <c r="Y30" s="3">
        <f t="shared" si="10"/>
        <v>16</v>
      </c>
      <c r="Z30" s="5">
        <f t="shared" si="11"/>
        <v>185.9</v>
      </c>
    </row>
    <row r="31" spans="1:26" ht="12">
      <c r="A31" s="15" t="s">
        <v>14</v>
      </c>
      <c r="B31" s="16" t="s">
        <v>19</v>
      </c>
      <c r="C31" s="17">
        <v>183.4</v>
      </c>
      <c r="D31" s="9">
        <v>177</v>
      </c>
      <c r="E31" s="10"/>
      <c r="F31" s="9">
        <f>94+91</f>
        <v>185</v>
      </c>
      <c r="G31" s="10">
        <v>2</v>
      </c>
      <c r="H31" s="22">
        <v>175</v>
      </c>
      <c r="I31" s="10"/>
      <c r="J31" s="9">
        <f>89+90</f>
        <v>179</v>
      </c>
      <c r="K31" s="10"/>
      <c r="L31" s="9">
        <v>186</v>
      </c>
      <c r="M31" s="10">
        <v>1</v>
      </c>
      <c r="N31" s="9">
        <v>183</v>
      </c>
      <c r="O31" s="10"/>
      <c r="P31" s="14">
        <v>188</v>
      </c>
      <c r="Q31" s="10">
        <v>2</v>
      </c>
      <c r="R31" s="14">
        <f>91+96</f>
        <v>187</v>
      </c>
      <c r="S31" s="10">
        <v>3</v>
      </c>
      <c r="T31" s="9">
        <f>92+95</f>
        <v>187</v>
      </c>
      <c r="U31" s="10">
        <v>2</v>
      </c>
      <c r="V31" s="9">
        <v>192</v>
      </c>
      <c r="W31" s="10">
        <v>3</v>
      </c>
      <c r="X31" s="3">
        <f t="shared" si="9"/>
        <v>1839</v>
      </c>
      <c r="Y31" s="3">
        <f t="shared" si="10"/>
        <v>13</v>
      </c>
      <c r="Z31" s="5">
        <f t="shared" si="11"/>
        <v>183.9</v>
      </c>
    </row>
    <row r="32" spans="1:26" ht="12">
      <c r="A32" s="15" t="s">
        <v>28</v>
      </c>
      <c r="B32" s="16" t="s">
        <v>38</v>
      </c>
      <c r="C32" s="17">
        <f>91.3*2</f>
        <v>182.6</v>
      </c>
      <c r="D32" s="9">
        <f>90+92</f>
        <v>182</v>
      </c>
      <c r="E32" s="10"/>
      <c r="F32" s="9">
        <f>88+94</f>
        <v>182</v>
      </c>
      <c r="G32" s="10"/>
      <c r="H32" s="9">
        <f>90+89</f>
        <v>179</v>
      </c>
      <c r="I32" s="10">
        <v>1</v>
      </c>
      <c r="J32" s="9">
        <f>94+95</f>
        <v>189</v>
      </c>
      <c r="K32" s="10">
        <v>2</v>
      </c>
      <c r="L32" s="9">
        <f>89+96</f>
        <v>185</v>
      </c>
      <c r="M32" s="10"/>
      <c r="N32" s="9">
        <f>90+95</f>
        <v>185</v>
      </c>
      <c r="O32" s="10">
        <v>1</v>
      </c>
      <c r="P32" s="14">
        <f>93+96</f>
        <v>189</v>
      </c>
      <c r="Q32" s="10">
        <v>3</v>
      </c>
      <c r="R32" s="14">
        <f>92+94</f>
        <v>186</v>
      </c>
      <c r="S32" s="10">
        <v>2</v>
      </c>
      <c r="T32" s="9">
        <f>94+93</f>
        <v>187</v>
      </c>
      <c r="U32" s="10">
        <v>2</v>
      </c>
      <c r="V32" s="9">
        <f>91+93</f>
        <v>184</v>
      </c>
      <c r="W32" s="10">
        <v>1</v>
      </c>
      <c r="X32" s="3">
        <f t="shared" si="9"/>
        <v>1848</v>
      </c>
      <c r="Y32" s="3">
        <f t="shared" si="10"/>
        <v>12</v>
      </c>
      <c r="Z32" s="5">
        <f t="shared" si="11"/>
        <v>184.8</v>
      </c>
    </row>
    <row r="33" spans="1:26" ht="12">
      <c r="A33" s="15" t="s">
        <v>28</v>
      </c>
      <c r="B33" s="16" t="s">
        <v>40</v>
      </c>
      <c r="C33" s="17">
        <f>90.1*2</f>
        <v>180.2</v>
      </c>
      <c r="D33" s="9">
        <f>92+92</f>
        <v>184</v>
      </c>
      <c r="E33" s="15">
        <v>1</v>
      </c>
      <c r="F33" s="9">
        <f>91+93</f>
        <v>184</v>
      </c>
      <c r="G33" s="10">
        <v>1</v>
      </c>
      <c r="H33" s="9">
        <f>93+91</f>
        <v>184</v>
      </c>
      <c r="I33" s="10">
        <v>2</v>
      </c>
      <c r="J33" s="9">
        <f>88+87</f>
        <v>175</v>
      </c>
      <c r="K33" s="10"/>
      <c r="L33" s="9">
        <f>91+88</f>
        <v>179</v>
      </c>
      <c r="M33" s="10"/>
      <c r="N33" s="9">
        <f>88+72</f>
        <v>160</v>
      </c>
      <c r="O33" s="10"/>
      <c r="P33" s="9">
        <f>91+87</f>
        <v>178</v>
      </c>
      <c r="Q33" s="10"/>
      <c r="R33" s="9">
        <f>87+81</f>
        <v>168</v>
      </c>
      <c r="S33" s="10">
        <v>1</v>
      </c>
      <c r="T33" s="9">
        <f>93+92</f>
        <v>185</v>
      </c>
      <c r="U33" s="10">
        <v>1</v>
      </c>
      <c r="V33" s="22">
        <f>94+83</f>
        <v>177</v>
      </c>
      <c r="W33" s="10"/>
      <c r="X33" s="3">
        <f t="shared" si="9"/>
        <v>1774</v>
      </c>
      <c r="Y33" s="3">
        <f t="shared" si="10"/>
        <v>6</v>
      </c>
      <c r="Z33" s="5">
        <f t="shared" si="11"/>
        <v>177.4</v>
      </c>
    </row>
    <row r="34" spans="1:26" ht="12">
      <c r="A34" s="15" t="s">
        <v>21</v>
      </c>
      <c r="B34" s="16" t="s">
        <v>24</v>
      </c>
      <c r="C34" s="17">
        <f>89.9*2</f>
        <v>179.8</v>
      </c>
      <c r="D34" s="9"/>
      <c r="E34" s="15"/>
      <c r="F34" s="9"/>
      <c r="G34" s="10"/>
      <c r="H34" s="9"/>
      <c r="I34" s="10"/>
      <c r="J34" s="9"/>
      <c r="K34" s="10"/>
      <c r="L34" s="9"/>
      <c r="M34" s="10"/>
      <c r="N34" s="9"/>
      <c r="O34" s="10"/>
      <c r="P34" s="9"/>
      <c r="Q34" s="10"/>
      <c r="R34" s="9"/>
      <c r="S34" s="10"/>
      <c r="T34" s="9"/>
      <c r="U34" s="10"/>
      <c r="V34" s="9"/>
      <c r="W34" s="10"/>
      <c r="X34" s="3">
        <f t="shared" si="9"/>
        <v>0</v>
      </c>
      <c r="Y34" s="3">
        <f t="shared" si="10"/>
        <v>0</v>
      </c>
      <c r="Z34" s="5" t="str">
        <f t="shared" si="11"/>
        <v> </v>
      </c>
    </row>
    <row r="35" spans="1:26" ht="12">
      <c r="A35" s="1" t="s">
        <v>47</v>
      </c>
      <c r="B35" s="16"/>
      <c r="C35" s="17"/>
      <c r="D35" s="9"/>
      <c r="E35" s="15"/>
      <c r="F35" s="9"/>
      <c r="G35" s="10"/>
      <c r="H35" s="9"/>
      <c r="I35" s="10"/>
      <c r="J35" s="9"/>
      <c r="K35" s="10"/>
      <c r="L35" s="9"/>
      <c r="M35" s="10"/>
      <c r="N35" s="9"/>
      <c r="O35" s="10"/>
      <c r="P35" s="9"/>
      <c r="Q35" s="10"/>
      <c r="R35" s="9"/>
      <c r="S35" s="10"/>
      <c r="T35" s="9"/>
      <c r="U35" s="10"/>
      <c r="V35" s="9"/>
      <c r="W35" s="10"/>
      <c r="X35" s="3"/>
      <c r="Y35" s="3"/>
      <c r="Z35" s="5"/>
    </row>
    <row r="36" spans="1:26" ht="12">
      <c r="A36" s="15" t="s">
        <v>11</v>
      </c>
      <c r="B36" s="16" t="s">
        <v>13</v>
      </c>
      <c r="C36" s="17">
        <v>172</v>
      </c>
      <c r="D36" s="9">
        <f>95+98</f>
        <v>193</v>
      </c>
      <c r="E36" s="15">
        <v>3</v>
      </c>
      <c r="F36" s="9">
        <f>93+94</f>
        <v>187</v>
      </c>
      <c r="G36" s="10">
        <v>3</v>
      </c>
      <c r="H36" s="9">
        <f>96+95</f>
        <v>191</v>
      </c>
      <c r="I36" s="10">
        <v>3</v>
      </c>
      <c r="J36" s="9">
        <f>93+92</f>
        <v>185</v>
      </c>
      <c r="K36" s="10">
        <v>3</v>
      </c>
      <c r="L36" s="9">
        <f>95+96</f>
        <v>191</v>
      </c>
      <c r="M36" s="10">
        <v>3</v>
      </c>
      <c r="N36" s="9">
        <f>96+99</f>
        <v>195</v>
      </c>
      <c r="O36" s="10">
        <v>3</v>
      </c>
      <c r="P36" s="9">
        <f>97+97</f>
        <v>194</v>
      </c>
      <c r="Q36" s="10">
        <v>3</v>
      </c>
      <c r="R36" s="9">
        <f>98+94</f>
        <v>192</v>
      </c>
      <c r="S36" s="10">
        <v>3</v>
      </c>
      <c r="T36" s="9">
        <f>91+97</f>
        <v>188</v>
      </c>
      <c r="U36" s="10">
        <v>3</v>
      </c>
      <c r="V36" s="9">
        <f>97+99</f>
        <v>196</v>
      </c>
      <c r="W36" s="10">
        <v>3</v>
      </c>
      <c r="X36" s="3">
        <f aca="true" t="shared" si="12" ref="X36:X42">SUM(D36,H36,J36,L36,N36,P36,R36,T36,V36,F36,)</f>
        <v>1912</v>
      </c>
      <c r="Y36" s="3">
        <f aca="true" t="shared" si="13" ref="Y36:Y42">SUM(E36+G36+I36+K36+M36+O36+Q36+S36+U36+W36)</f>
        <v>30</v>
      </c>
      <c r="Z36" s="5">
        <f aca="true" t="shared" si="14" ref="Z36:Z42">IF(COUNT(D36,F36,H36,J36,L36,N36,P36,R36,T36,V36),AVERAGE(D36,F36,H36,J36,L36,N36,P36,R36,T36,V36)," ")</f>
        <v>191.2</v>
      </c>
    </row>
    <row r="37" spans="1:26" ht="12">
      <c r="A37" s="15" t="s">
        <v>14</v>
      </c>
      <c r="B37" s="16" t="s">
        <v>18</v>
      </c>
      <c r="C37" s="17">
        <v>179</v>
      </c>
      <c r="D37" s="9">
        <v>186</v>
      </c>
      <c r="E37" s="15">
        <v>2</v>
      </c>
      <c r="F37" s="9">
        <f>91+95</f>
        <v>186</v>
      </c>
      <c r="G37" s="10">
        <v>2</v>
      </c>
      <c r="H37" s="9">
        <v>180</v>
      </c>
      <c r="I37" s="10"/>
      <c r="J37" s="9">
        <f>87+87</f>
        <v>174</v>
      </c>
      <c r="K37" s="10"/>
      <c r="L37" s="9">
        <v>172</v>
      </c>
      <c r="M37" s="10"/>
      <c r="N37" s="9">
        <v>173</v>
      </c>
      <c r="O37" s="10"/>
      <c r="P37" s="9">
        <v>173</v>
      </c>
      <c r="Q37" s="10"/>
      <c r="R37" s="9">
        <f>91+97</f>
        <v>188</v>
      </c>
      <c r="S37" s="10">
        <v>2</v>
      </c>
      <c r="T37" s="9">
        <f>95+88</f>
        <v>183</v>
      </c>
      <c r="U37" s="10">
        <v>2</v>
      </c>
      <c r="V37" s="9">
        <v>186</v>
      </c>
      <c r="W37" s="10">
        <v>1</v>
      </c>
      <c r="X37" s="3">
        <f t="shared" si="12"/>
        <v>1801</v>
      </c>
      <c r="Y37" s="3">
        <f t="shared" si="13"/>
        <v>9</v>
      </c>
      <c r="Z37" s="5">
        <f t="shared" si="14"/>
        <v>180.1</v>
      </c>
    </row>
    <row r="38" spans="1:26" ht="12">
      <c r="A38" s="15" t="s">
        <v>28</v>
      </c>
      <c r="B38" s="16" t="s">
        <v>49</v>
      </c>
      <c r="C38" s="5">
        <v>175</v>
      </c>
      <c r="D38" s="3">
        <f>89+93</f>
        <v>182</v>
      </c>
      <c r="E38" s="20">
        <v>1</v>
      </c>
      <c r="F38" s="3">
        <f>91+89</f>
        <v>180</v>
      </c>
      <c r="G38" s="10">
        <v>1</v>
      </c>
      <c r="H38" s="3">
        <f>92+92</f>
        <v>184</v>
      </c>
      <c r="I38" s="20">
        <v>2</v>
      </c>
      <c r="J38" s="3">
        <f>88+90</f>
        <v>178</v>
      </c>
      <c r="K38" s="20"/>
      <c r="L38" s="3">
        <f>88+92</f>
        <v>180</v>
      </c>
      <c r="M38">
        <v>1</v>
      </c>
      <c r="N38" s="3">
        <f>94+91</f>
        <v>185</v>
      </c>
      <c r="O38" s="26">
        <v>2</v>
      </c>
      <c r="P38" s="3">
        <f>89+92</f>
        <v>181</v>
      </c>
      <c r="Q38">
        <v>2</v>
      </c>
      <c r="R38" s="3">
        <f>90+88</f>
        <v>178</v>
      </c>
      <c r="S38" s="3"/>
      <c r="T38" s="3">
        <f>88+84</f>
        <v>172</v>
      </c>
      <c r="U38" s="3"/>
      <c r="V38" s="3">
        <f>83+77</f>
        <v>160</v>
      </c>
      <c r="W38" s="3"/>
      <c r="X38" s="3">
        <f t="shared" si="12"/>
        <v>1780</v>
      </c>
      <c r="Y38" s="3">
        <f t="shared" si="13"/>
        <v>9</v>
      </c>
      <c r="Z38" s="5">
        <f t="shared" si="14"/>
        <v>178</v>
      </c>
    </row>
    <row r="39" spans="1:26" ht="12">
      <c r="A39" s="15" t="s">
        <v>28</v>
      </c>
      <c r="B39" s="16" t="s">
        <v>41</v>
      </c>
      <c r="C39" s="17">
        <f>85*2</f>
        <v>170</v>
      </c>
      <c r="D39" s="9">
        <f>89+93</f>
        <v>182</v>
      </c>
      <c r="E39" s="15">
        <v>1</v>
      </c>
      <c r="F39" s="9">
        <f>77+84</f>
        <v>161</v>
      </c>
      <c r="G39" s="10"/>
      <c r="H39" s="9">
        <f>83+88</f>
        <v>171</v>
      </c>
      <c r="I39" s="10"/>
      <c r="J39" s="9">
        <f>92+87</f>
        <v>179</v>
      </c>
      <c r="K39" s="10">
        <v>1</v>
      </c>
      <c r="L39" s="9">
        <f>92+93</f>
        <v>185</v>
      </c>
      <c r="M39" s="10">
        <v>2</v>
      </c>
      <c r="N39" s="24">
        <f>76+86</f>
        <v>162</v>
      </c>
      <c r="O39" s="10"/>
      <c r="P39" s="9">
        <f>90+87</f>
        <v>177</v>
      </c>
      <c r="Q39" s="10">
        <v>1</v>
      </c>
      <c r="R39" s="9">
        <f>86+83</f>
        <v>169</v>
      </c>
      <c r="S39" s="10"/>
      <c r="T39" s="9">
        <f>94+89</f>
        <v>183</v>
      </c>
      <c r="U39" s="10">
        <v>2</v>
      </c>
      <c r="V39" s="9">
        <f>94+94</f>
        <v>188</v>
      </c>
      <c r="W39" s="10">
        <v>2</v>
      </c>
      <c r="X39" s="3">
        <f t="shared" si="12"/>
        <v>1757</v>
      </c>
      <c r="Y39" s="3">
        <f t="shared" si="13"/>
        <v>9</v>
      </c>
      <c r="Z39" s="5">
        <f t="shared" si="14"/>
        <v>175.7</v>
      </c>
    </row>
    <row r="40" spans="1:26" ht="12">
      <c r="A40" s="15" t="s">
        <v>28</v>
      </c>
      <c r="B40" s="16" t="s">
        <v>42</v>
      </c>
      <c r="C40" s="3">
        <f>84.6*2</f>
        <v>169.2</v>
      </c>
      <c r="F40" s="3">
        <f>88+86</f>
        <v>174</v>
      </c>
      <c r="G40" s="6"/>
      <c r="H40" s="3">
        <f>90+91</f>
        <v>181</v>
      </c>
      <c r="I40" s="20">
        <v>1</v>
      </c>
      <c r="J40" s="3">
        <f>91+93</f>
        <v>184</v>
      </c>
      <c r="K40" s="20">
        <v>2</v>
      </c>
      <c r="L40" s="3">
        <f>89+89</f>
        <v>178</v>
      </c>
      <c r="N40" s="3">
        <f>93+90</f>
        <v>183</v>
      </c>
      <c r="O40" s="26">
        <v>1</v>
      </c>
      <c r="P40" s="3"/>
      <c r="R40" s="3">
        <f>95+92</f>
        <v>187</v>
      </c>
      <c r="S40" s="3">
        <v>1</v>
      </c>
      <c r="T40" s="22">
        <f>92+69</f>
        <v>161</v>
      </c>
      <c r="U40" s="3"/>
      <c r="V40" s="3">
        <f>84+95</f>
        <v>179</v>
      </c>
      <c r="W40" s="3"/>
      <c r="X40" s="3">
        <f t="shared" si="12"/>
        <v>1427</v>
      </c>
      <c r="Y40" s="3">
        <f t="shared" si="13"/>
        <v>5</v>
      </c>
      <c r="Z40" s="5">
        <f t="shared" si="14"/>
        <v>178.375</v>
      </c>
    </row>
    <row r="41" spans="1:26" ht="12">
      <c r="A41" s="15" t="s">
        <v>28</v>
      </c>
      <c r="B41" s="16" t="s">
        <v>51</v>
      </c>
      <c r="C41" s="17">
        <f>87.6*2</f>
        <v>175.2</v>
      </c>
      <c r="D41" s="9">
        <f>84+92</f>
        <v>176</v>
      </c>
      <c r="E41" s="15"/>
      <c r="F41" s="9">
        <f>80+91</f>
        <v>171</v>
      </c>
      <c r="G41" s="10"/>
      <c r="H41" s="9">
        <f>92+87</f>
        <v>179</v>
      </c>
      <c r="I41" s="10"/>
      <c r="J41" s="9">
        <f>79+90</f>
        <v>169</v>
      </c>
      <c r="K41" s="10"/>
      <c r="L41" s="9">
        <f>79+83</f>
        <v>162</v>
      </c>
      <c r="M41" s="10"/>
      <c r="N41" s="9">
        <f>85+82</f>
        <v>167</v>
      </c>
      <c r="O41" s="10"/>
      <c r="P41" s="9">
        <f>78+75</f>
        <v>153</v>
      </c>
      <c r="Q41" s="10"/>
      <c r="R41" s="9">
        <f>71+61</f>
        <v>132</v>
      </c>
      <c r="S41" s="10"/>
      <c r="T41" s="9">
        <f>88+92</f>
        <v>180</v>
      </c>
      <c r="U41" s="10">
        <v>1</v>
      </c>
      <c r="V41" s="9">
        <f>85+89</f>
        <v>174</v>
      </c>
      <c r="W41" s="10"/>
      <c r="X41" s="3">
        <f t="shared" si="12"/>
        <v>1663</v>
      </c>
      <c r="Y41" s="3">
        <f t="shared" si="13"/>
        <v>1</v>
      </c>
      <c r="Z41" s="5">
        <f t="shared" si="14"/>
        <v>166.3</v>
      </c>
    </row>
    <row r="42" spans="1:26" ht="12">
      <c r="A42" s="15" t="s">
        <v>28</v>
      </c>
      <c r="B42" s="16" t="s">
        <v>43</v>
      </c>
      <c r="C42" s="3">
        <f>79.9*2</f>
        <v>159.8</v>
      </c>
      <c r="D42">
        <f>84+87</f>
        <v>171</v>
      </c>
      <c r="F42" s="3">
        <f>92+82</f>
        <v>174</v>
      </c>
      <c r="H42" s="3">
        <f>88+78</f>
        <v>166</v>
      </c>
      <c r="J42" s="3">
        <f>89+80</f>
        <v>169</v>
      </c>
      <c r="K42" s="20"/>
      <c r="L42" s="3">
        <f>84+89</f>
        <v>173</v>
      </c>
      <c r="N42" s="3">
        <f>92+80</f>
        <v>172</v>
      </c>
      <c r="O42" s="26"/>
      <c r="P42" s="3">
        <f>89+80</f>
        <v>169</v>
      </c>
      <c r="R42" s="3">
        <f>93+90</f>
        <v>183</v>
      </c>
      <c r="S42" s="3"/>
      <c r="T42" s="3">
        <f>88+85</f>
        <v>173</v>
      </c>
      <c r="U42" s="3"/>
      <c r="V42" s="3">
        <f>85+90</f>
        <v>175</v>
      </c>
      <c r="W42" s="3"/>
      <c r="X42" s="3">
        <f t="shared" si="12"/>
        <v>1725</v>
      </c>
      <c r="Y42" s="3">
        <f t="shared" si="13"/>
        <v>0</v>
      </c>
      <c r="Z42" s="5">
        <f t="shared" si="14"/>
        <v>172.5</v>
      </c>
    </row>
    <row r="43" ht="12">
      <c r="P43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2016-06-13T19:17:30Z</cp:lastPrinted>
  <dcterms:created xsi:type="dcterms:W3CDTF">2009-09-26T18:03:40Z</dcterms:created>
  <dcterms:modified xsi:type="dcterms:W3CDTF">2018-09-10T15:43:56Z</dcterms:modified>
  <cp:category/>
  <cp:version/>
  <cp:contentType/>
  <cp:contentStatus/>
</cp:coreProperties>
</file>