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7-18" sheetId="1" r:id="rId1"/>
  </sheets>
  <definedNames>
    <definedName name="_xlnm.Print_Area" localSheetId="0">'17-18'!$A$1:$Z$40</definedName>
  </definedNames>
  <calcPr fullCalcOnLoad="1"/>
</workbook>
</file>

<file path=xl/sharedStrings.xml><?xml version="1.0" encoding="utf-8"?>
<sst xmlns="http://schemas.openxmlformats.org/spreadsheetml/2006/main" count="78" uniqueCount="52">
  <si>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</si>
  <si>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</si>
  <si>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</si>
  <si>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</si>
  <si>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</si>
  <si>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</si>
  <si>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</si>
  <si>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</si>
  <si>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</si>
  <si>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</si>
  <si>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`</t>
  </si>
  <si>
    <t>2017-2018</t>
  </si>
  <si>
    <t>City of Truro</t>
  </si>
  <si>
    <t>S. Collier</t>
  </si>
  <si>
    <t>Launceston</t>
  </si>
  <si>
    <t>P. Leahy</t>
  </si>
  <si>
    <t>S. Ellis</t>
  </si>
  <si>
    <t>W. Chand</t>
  </si>
  <si>
    <t>J. Bradshaw</t>
  </si>
  <si>
    <t>R. Burford</t>
  </si>
  <si>
    <t>S. Byers</t>
  </si>
  <si>
    <t>A. Savory</t>
  </si>
  <si>
    <t>R. Cotton</t>
  </si>
  <si>
    <t>A. Wicks</t>
  </si>
  <si>
    <t>N. Hope</t>
  </si>
  <si>
    <t>L. Cobbledick</t>
  </si>
  <si>
    <t>Mrs.C. Fildes</t>
  </si>
  <si>
    <t>N. Wanacott</t>
  </si>
  <si>
    <t>Bodmin</t>
  </si>
  <si>
    <t>J. Harvey</t>
  </si>
  <si>
    <t>K. Catlin</t>
  </si>
  <si>
    <t>T. Rousseau</t>
  </si>
  <si>
    <t>P. Wright</t>
  </si>
  <si>
    <t>St. Austell</t>
  </si>
  <si>
    <t>G. Matta</t>
  </si>
  <si>
    <t>P. Hammond</t>
  </si>
  <si>
    <t>K.G. Knowles</t>
  </si>
  <si>
    <t>D. Husband</t>
  </si>
  <si>
    <t>W. Harvey</t>
  </si>
  <si>
    <t>F. Cosier</t>
  </si>
  <si>
    <t>P. Yeomans</t>
  </si>
  <si>
    <t>P. Matthews</t>
  </si>
  <si>
    <t>B. Bundon</t>
  </si>
  <si>
    <t>Division 2</t>
  </si>
  <si>
    <t>Division 3</t>
  </si>
  <si>
    <t>Division 4</t>
  </si>
  <si>
    <t>Division 5</t>
  </si>
  <si>
    <t>P. Finneran</t>
  </si>
  <si>
    <t>B. Masters</t>
  </si>
  <si>
    <t>1pp Rule 5.2.1.</t>
  </si>
  <si>
    <t>Amended score</t>
  </si>
  <si>
    <r>
      <t>Winter Indoor Individual</t>
    </r>
    <r>
      <rPr>
        <b/>
        <sz val="10"/>
        <rFont val="Arial"/>
        <family val="2"/>
      </rPr>
      <t xml:space="preserve"> Benchrest League</t>
    </r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</si>
</sst>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3:16" ht="19.5" customHeight="1">
      <c r="C1" s="16" t="s">
        <v>8</v>
      </c>
      <c r="P1" t="s">
        <v>10</v>
      </c>
    </row>
    <row r="2" ht="12">
      <c r="H2" s="12" t="s">
        <v>9</v>
      </c>
    </row>
    <row r="3" spans="1:6" ht="12">
      <c r="A3" s="28" t="s">
        <v>49</v>
      </c>
      <c r="F3" s="12" t="s">
        <v>51</v>
      </c>
    </row>
    <row r="4" spans="1:10" ht="12.75" customHeight="1">
      <c r="A4" s="30" t="s">
        <v>50</v>
      </c>
      <c r="C4" s="14"/>
      <c r="D4" s="15"/>
      <c r="E4" s="13"/>
      <c r="J4" s="17" t="s">
        <v>11</v>
      </c>
    </row>
    <row r="5" spans="1:4" ht="10.5" customHeight="1">
      <c r="A5" s="15"/>
      <c r="C5" s="2" t="s">
        <v>3</v>
      </c>
      <c r="D5" s="10" t="s">
        <v>6</v>
      </c>
    </row>
    <row r="6" spans="1:26" ht="12">
      <c r="A6" s="1" t="s">
        <v>1</v>
      </c>
      <c r="B6" s="1" t="s">
        <v>0</v>
      </c>
      <c r="C6" s="2" t="s">
        <v>2</v>
      </c>
      <c r="D6" s="7">
        <v>1</v>
      </c>
      <c r="E6" s="7"/>
      <c r="F6" s="7">
        <v>2</v>
      </c>
      <c r="G6" s="7"/>
      <c r="H6" s="7">
        <v>3</v>
      </c>
      <c r="I6" s="7"/>
      <c r="J6" s="7">
        <v>4</v>
      </c>
      <c r="K6" s="7"/>
      <c r="L6" s="7">
        <v>5</v>
      </c>
      <c r="M6" s="7"/>
      <c r="N6" s="7">
        <v>6</v>
      </c>
      <c r="O6" s="7"/>
      <c r="P6" s="7">
        <v>7</v>
      </c>
      <c r="Q6" s="7"/>
      <c r="R6" s="7">
        <v>8</v>
      </c>
      <c r="S6" s="7"/>
      <c r="T6" s="7">
        <v>9</v>
      </c>
      <c r="U6" s="7"/>
      <c r="V6" s="7">
        <v>10</v>
      </c>
      <c r="W6" s="7"/>
      <c r="X6" s="2" t="s">
        <v>4</v>
      </c>
      <c r="Y6" s="2" t="s">
        <v>5</v>
      </c>
      <c r="Z6" s="2" t="s">
        <v>2</v>
      </c>
    </row>
    <row r="7" spans="1:26" ht="12">
      <c r="A7" s="1" t="s">
        <v>7</v>
      </c>
      <c r="B7" s="1"/>
      <c r="C7" s="2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2">
      <c r="A8" s="4" t="s">
        <v>14</v>
      </c>
      <c r="B8" s="9" t="s">
        <v>15</v>
      </c>
      <c r="C8" s="11">
        <v>97.8</v>
      </c>
      <c r="D8" s="18">
        <v>200</v>
      </c>
      <c r="E8" s="5">
        <v>3</v>
      </c>
      <c r="F8" s="6">
        <v>196</v>
      </c>
      <c r="G8" s="5">
        <v>3</v>
      </c>
      <c r="H8" s="3">
        <v>197</v>
      </c>
      <c r="I8" s="5">
        <v>3</v>
      </c>
      <c r="J8" s="18">
        <v>200</v>
      </c>
      <c r="K8" s="5">
        <v>3</v>
      </c>
      <c r="L8" s="18">
        <f>100+100</f>
        <v>200</v>
      </c>
      <c r="M8" s="5">
        <v>3</v>
      </c>
      <c r="N8" s="6">
        <f>98+99</f>
        <v>197</v>
      </c>
      <c r="O8" s="5">
        <v>2</v>
      </c>
      <c r="P8" s="3">
        <f>95+96</f>
        <v>191</v>
      </c>
      <c r="Q8" s="5">
        <v>1</v>
      </c>
      <c r="R8" s="3">
        <f>97+96</f>
        <v>193</v>
      </c>
      <c r="S8" s="5"/>
      <c r="T8" s="6">
        <f>99+100</f>
        <v>199</v>
      </c>
      <c r="U8" s="5">
        <v>3</v>
      </c>
      <c r="V8" s="3">
        <f>99+99</f>
        <v>198</v>
      </c>
      <c r="W8" s="5">
        <v>2</v>
      </c>
      <c r="X8" s="3">
        <f aca="true" t="shared" si="0" ref="X8:X13">SUM(D8,H8,J8,L8,N8,P8,R8,T8,V8,F8,)</f>
        <v>1971</v>
      </c>
      <c r="Y8" s="3">
        <f aca="true" t="shared" si="1" ref="Y8:Y13">SUM(E8+G8+I8+K8+M8+O8+Q8+S8+U8+W8)</f>
        <v>23</v>
      </c>
      <c r="Z8" s="8">
        <f aca="true" t="shared" si="2" ref="Z8:Z13">IF(COUNT(D8,F8,H8,J8,L8,N8,P8,R8,T8,V8),AVERAGE(D8,F8,H8,J8,L8,N8,P8,R8,T8,V8)," ")</f>
        <v>197.1</v>
      </c>
    </row>
    <row r="9" spans="1:26" ht="12">
      <c r="A9" s="4" t="s">
        <v>28</v>
      </c>
      <c r="B9" s="9" t="s">
        <v>29</v>
      </c>
      <c r="C9" s="11">
        <v>97.9</v>
      </c>
      <c r="D9" s="3">
        <f>99+99</f>
        <v>198</v>
      </c>
      <c r="E9" s="5">
        <v>2</v>
      </c>
      <c r="F9" s="3">
        <f>98+96</f>
        <v>194</v>
      </c>
      <c r="G9" s="5">
        <v>1</v>
      </c>
      <c r="H9" s="3">
        <f>98+97</f>
        <v>195</v>
      </c>
      <c r="I9" s="5">
        <v>2</v>
      </c>
      <c r="J9" s="3">
        <f>95+98</f>
        <v>193</v>
      </c>
      <c r="K9" s="5"/>
      <c r="L9" s="3">
        <f>96+99</f>
        <v>195</v>
      </c>
      <c r="M9" s="5">
        <v>2</v>
      </c>
      <c r="N9" s="3">
        <f>100+98</f>
        <v>198</v>
      </c>
      <c r="O9" s="5">
        <v>3</v>
      </c>
      <c r="P9" s="6">
        <f>98+99</f>
        <v>197</v>
      </c>
      <c r="Q9" s="5">
        <v>3</v>
      </c>
      <c r="R9" s="6">
        <f>95+97</f>
        <v>192</v>
      </c>
      <c r="S9" s="5"/>
      <c r="T9" s="6">
        <f>100+99</f>
        <v>199</v>
      </c>
      <c r="U9" s="5">
        <v>3</v>
      </c>
      <c r="V9" s="3">
        <f>97+99</f>
        <v>196</v>
      </c>
      <c r="W9" s="5">
        <v>1</v>
      </c>
      <c r="X9" s="3">
        <f t="shared" si="0"/>
        <v>1957</v>
      </c>
      <c r="Y9" s="3">
        <f t="shared" si="1"/>
        <v>17</v>
      </c>
      <c r="Z9" s="8">
        <f t="shared" si="2"/>
        <v>195.7</v>
      </c>
    </row>
    <row r="10" spans="1:26" ht="12">
      <c r="A10" s="4" t="s">
        <v>33</v>
      </c>
      <c r="B10" s="9" t="s">
        <v>36</v>
      </c>
      <c r="C10" s="11">
        <v>97.2</v>
      </c>
      <c r="D10" s="6">
        <v>193</v>
      </c>
      <c r="E10" s="21">
        <v>1</v>
      </c>
      <c r="F10" s="6">
        <f>97+99</f>
        <v>196</v>
      </c>
      <c r="G10" s="5">
        <v>3</v>
      </c>
      <c r="H10" s="3">
        <v>189</v>
      </c>
      <c r="I10" s="5"/>
      <c r="J10" s="6">
        <f>97+97</f>
        <v>194</v>
      </c>
      <c r="K10" s="5"/>
      <c r="L10" s="6">
        <f>98+97</f>
        <v>195</v>
      </c>
      <c r="M10" s="5">
        <v>2</v>
      </c>
      <c r="N10" s="6">
        <v>196</v>
      </c>
      <c r="O10" s="5">
        <v>1</v>
      </c>
      <c r="P10" s="3">
        <v>197</v>
      </c>
      <c r="Q10" s="5">
        <v>3</v>
      </c>
      <c r="R10" s="3">
        <v>197</v>
      </c>
      <c r="S10" s="5">
        <v>3</v>
      </c>
      <c r="T10" s="6">
        <v>196</v>
      </c>
      <c r="U10" s="5">
        <v>1</v>
      </c>
      <c r="V10" s="3">
        <f>95+98</f>
        <v>193</v>
      </c>
      <c r="W10" s="5"/>
      <c r="X10" s="3">
        <f t="shared" si="0"/>
        <v>1946</v>
      </c>
      <c r="Y10" s="3">
        <f t="shared" si="1"/>
        <v>14</v>
      </c>
      <c r="Z10" s="8">
        <f t="shared" si="2"/>
        <v>194.6</v>
      </c>
    </row>
    <row r="11" spans="1:26" ht="12">
      <c r="A11" s="4" t="s">
        <v>33</v>
      </c>
      <c r="B11" s="9" t="s">
        <v>34</v>
      </c>
      <c r="C11" s="2"/>
      <c r="D11" s="6">
        <v>183</v>
      </c>
      <c r="E11" s="6"/>
      <c r="F11" s="6">
        <v>195</v>
      </c>
      <c r="G11" s="21">
        <v>2</v>
      </c>
      <c r="H11" s="26">
        <v>193</v>
      </c>
      <c r="I11" s="21">
        <v>1</v>
      </c>
      <c r="J11" s="6">
        <f>98+99</f>
        <v>197</v>
      </c>
      <c r="K11" s="21">
        <v>2</v>
      </c>
      <c r="L11" s="29"/>
      <c r="M11" s="32"/>
      <c r="N11" s="6">
        <v>198</v>
      </c>
      <c r="O11" s="5">
        <v>3</v>
      </c>
      <c r="P11" s="6">
        <v>197</v>
      </c>
      <c r="Q11" s="21">
        <v>3</v>
      </c>
      <c r="R11" s="6">
        <v>193</v>
      </c>
      <c r="S11" s="20"/>
      <c r="T11" s="6">
        <v>198</v>
      </c>
      <c r="U11" s="5">
        <v>2</v>
      </c>
      <c r="V11" s="6">
        <f>99+97</f>
        <v>196</v>
      </c>
      <c r="W11" s="35">
        <v>1</v>
      </c>
      <c r="X11" s="3">
        <f t="shared" si="0"/>
        <v>1750</v>
      </c>
      <c r="Y11" s="3">
        <f t="shared" si="1"/>
        <v>14</v>
      </c>
      <c r="Z11" s="8">
        <f t="shared" si="2"/>
        <v>194.44444444444446</v>
      </c>
    </row>
    <row r="12" spans="1:26" ht="12">
      <c r="A12" s="4" t="s">
        <v>33</v>
      </c>
      <c r="B12" s="9" t="s">
        <v>35</v>
      </c>
      <c r="C12" s="2"/>
      <c r="D12" s="6">
        <v>193</v>
      </c>
      <c r="E12" s="21">
        <v>1</v>
      </c>
      <c r="F12" s="6">
        <f>97+95</f>
        <v>192</v>
      </c>
      <c r="G12" s="6"/>
      <c r="H12" s="6">
        <v>185</v>
      </c>
      <c r="I12" s="6"/>
      <c r="J12" s="6">
        <f>99+97</f>
        <v>196</v>
      </c>
      <c r="K12" s="21">
        <v>1</v>
      </c>
      <c r="L12" s="6">
        <f>95+95</f>
        <v>190</v>
      </c>
      <c r="M12" s="5"/>
      <c r="N12" s="6">
        <v>193</v>
      </c>
      <c r="O12" s="5"/>
      <c r="P12" s="6">
        <v>190</v>
      </c>
      <c r="Q12" s="20"/>
      <c r="R12" s="6">
        <v>195</v>
      </c>
      <c r="S12" s="21">
        <v>2</v>
      </c>
      <c r="T12" s="34">
        <v>196</v>
      </c>
      <c r="U12" s="5">
        <v>1</v>
      </c>
      <c r="V12" s="6">
        <f>99+100</f>
        <v>199</v>
      </c>
      <c r="W12" s="35">
        <v>3</v>
      </c>
      <c r="X12" s="3">
        <f t="shared" si="0"/>
        <v>1929</v>
      </c>
      <c r="Y12" s="3">
        <f t="shared" si="1"/>
        <v>8</v>
      </c>
      <c r="Z12" s="8">
        <f t="shared" si="2"/>
        <v>192.9</v>
      </c>
    </row>
    <row r="13" spans="1:26" ht="12">
      <c r="A13" s="4" t="s">
        <v>33</v>
      </c>
      <c r="B13" s="9" t="s">
        <v>40</v>
      </c>
      <c r="C13" s="3">
        <v>97.1</v>
      </c>
      <c r="D13" s="3">
        <v>189</v>
      </c>
      <c r="E13" s="5"/>
      <c r="F13" s="3">
        <f>97+93</f>
        <v>190</v>
      </c>
      <c r="G13" s="5"/>
      <c r="H13" s="3">
        <v>192</v>
      </c>
      <c r="I13" s="5"/>
      <c r="J13" s="3">
        <f>97+97</f>
        <v>194</v>
      </c>
      <c r="K13" s="5"/>
      <c r="L13" s="3">
        <f>95+96</f>
        <v>191</v>
      </c>
      <c r="M13" s="5">
        <v>1</v>
      </c>
      <c r="N13" s="3">
        <v>191</v>
      </c>
      <c r="O13" s="5"/>
      <c r="P13" s="6">
        <v>194</v>
      </c>
      <c r="Q13" s="5">
        <v>2</v>
      </c>
      <c r="R13" s="6">
        <v>194</v>
      </c>
      <c r="S13" s="5">
        <v>1</v>
      </c>
      <c r="T13" s="3">
        <v>198</v>
      </c>
      <c r="U13" s="5">
        <v>2</v>
      </c>
      <c r="V13" s="3">
        <f>98+94</f>
        <v>192</v>
      </c>
      <c r="W13" s="21"/>
      <c r="X13" s="3">
        <f t="shared" si="0"/>
        <v>1925</v>
      </c>
      <c r="Y13" s="3">
        <f t="shared" si="1"/>
        <v>6</v>
      </c>
      <c r="Z13" s="8">
        <f t="shared" si="2"/>
        <v>192.5</v>
      </c>
    </row>
    <row r="14" spans="1:26" ht="12">
      <c r="A14" s="1" t="s">
        <v>43</v>
      </c>
      <c r="B14" s="9"/>
      <c r="C14" s="3"/>
      <c r="D14" s="3"/>
      <c r="E14" s="5"/>
      <c r="F14" s="3"/>
      <c r="G14" s="5"/>
      <c r="H14" s="3"/>
      <c r="I14" s="5"/>
      <c r="J14" s="3"/>
      <c r="K14" s="5"/>
      <c r="L14" s="3"/>
      <c r="M14" s="5"/>
      <c r="N14" s="3"/>
      <c r="O14" s="5"/>
      <c r="P14" s="6"/>
      <c r="Q14" s="5"/>
      <c r="R14" s="6"/>
      <c r="S14" s="5"/>
      <c r="T14" s="3"/>
      <c r="U14" s="5"/>
      <c r="V14" s="3"/>
      <c r="W14" s="5"/>
      <c r="X14" s="3"/>
      <c r="Y14" s="3"/>
      <c r="Z14" s="8"/>
    </row>
    <row r="15" spans="1:26" ht="12">
      <c r="A15" s="4" t="s">
        <v>14</v>
      </c>
      <c r="B15" s="9" t="s">
        <v>16</v>
      </c>
      <c r="C15" s="11">
        <v>95.7</v>
      </c>
      <c r="D15" s="3">
        <v>195</v>
      </c>
      <c r="E15" s="5">
        <v>3</v>
      </c>
      <c r="F15" s="3">
        <v>195</v>
      </c>
      <c r="G15" s="5">
        <v>3</v>
      </c>
      <c r="H15" s="3">
        <v>199</v>
      </c>
      <c r="I15" s="5">
        <v>3</v>
      </c>
      <c r="J15" s="3">
        <v>197</v>
      </c>
      <c r="K15" s="5">
        <v>3</v>
      </c>
      <c r="L15" s="3">
        <f>99+98</f>
        <v>197</v>
      </c>
      <c r="M15" s="5">
        <v>2</v>
      </c>
      <c r="N15" s="3">
        <f>95+100</f>
        <v>195</v>
      </c>
      <c r="O15" s="5">
        <v>3</v>
      </c>
      <c r="P15" s="6">
        <f>98+100</f>
        <v>198</v>
      </c>
      <c r="Q15" s="32">
        <v>3</v>
      </c>
      <c r="R15" s="6">
        <f>98+96</f>
        <v>194</v>
      </c>
      <c r="S15" s="5">
        <v>3</v>
      </c>
      <c r="T15" s="3">
        <f>100+99</f>
        <v>199</v>
      </c>
      <c r="U15" s="5">
        <v>3</v>
      </c>
      <c r="V15" s="3">
        <f>100+97</f>
        <v>197</v>
      </c>
      <c r="W15" s="5">
        <v>3</v>
      </c>
      <c r="X15" s="3">
        <f aca="true" t="shared" si="3" ref="X15:X20">SUM(D15,H15,J15,L15,N15,P15,R15,T15,V15,F15,)</f>
        <v>1966</v>
      </c>
      <c r="Y15" s="3">
        <f aca="true" t="shared" si="4" ref="Y15:Y20">SUM(E15+G15+I15+K15+M15+O15+Q15+S15+U15+W15)</f>
        <v>29</v>
      </c>
      <c r="Z15" s="8">
        <f aca="true" t="shared" si="5" ref="Z15:Z20">IF(COUNT(D15,F15,H15,J15,L15,N15,P15,R15,T15,V15),AVERAGE(D15,F15,H15,J15,L15,N15,P15,R15,T15,V15)," ")</f>
        <v>196.6</v>
      </c>
    </row>
    <row r="16" spans="1:26" ht="12">
      <c r="A16" s="4" t="s">
        <v>14</v>
      </c>
      <c r="B16" s="9" t="s">
        <v>17</v>
      </c>
      <c r="C16" s="11">
        <v>95.6</v>
      </c>
      <c r="D16" s="3">
        <v>188</v>
      </c>
      <c r="E16" s="5">
        <v>1</v>
      </c>
      <c r="F16" s="6">
        <v>190</v>
      </c>
      <c r="G16" s="5">
        <v>1</v>
      </c>
      <c r="H16" s="3">
        <v>193</v>
      </c>
      <c r="I16" s="5">
        <v>1</v>
      </c>
      <c r="J16" s="3">
        <v>189</v>
      </c>
      <c r="K16" s="5">
        <v>2</v>
      </c>
      <c r="L16" s="3">
        <f>97+95</f>
        <v>192</v>
      </c>
      <c r="M16" s="5">
        <v>1</v>
      </c>
      <c r="N16" s="3">
        <f>96+92</f>
        <v>188</v>
      </c>
      <c r="O16" s="5"/>
      <c r="P16" s="29">
        <v>191</v>
      </c>
      <c r="Q16" s="32">
        <v>1</v>
      </c>
      <c r="R16" s="6">
        <f>95+94</f>
        <v>189</v>
      </c>
      <c r="S16" s="5">
        <v>1</v>
      </c>
      <c r="T16" s="3">
        <f>95+93</f>
        <v>188</v>
      </c>
      <c r="U16" s="5"/>
      <c r="V16" s="3">
        <f>98+97</f>
        <v>195</v>
      </c>
      <c r="W16" s="5">
        <v>2</v>
      </c>
      <c r="X16" s="3">
        <f t="shared" si="3"/>
        <v>1903</v>
      </c>
      <c r="Y16" s="3">
        <f t="shared" si="4"/>
        <v>10</v>
      </c>
      <c r="Z16" s="8">
        <f t="shared" si="5"/>
        <v>190.3</v>
      </c>
    </row>
    <row r="17" spans="1:26" ht="12">
      <c r="A17" s="4" t="s">
        <v>28</v>
      </c>
      <c r="B17" s="9" t="s">
        <v>32</v>
      </c>
      <c r="C17" s="11">
        <v>96.4</v>
      </c>
      <c r="D17" s="3">
        <f>94+97</f>
        <v>191</v>
      </c>
      <c r="E17" s="5">
        <v>2</v>
      </c>
      <c r="F17" s="3">
        <f>92+95</f>
        <v>187</v>
      </c>
      <c r="G17" s="5"/>
      <c r="H17" s="3">
        <f>90+93</f>
        <v>183</v>
      </c>
      <c r="I17" s="5"/>
      <c r="J17" s="3">
        <f>86+91</f>
        <v>177</v>
      </c>
      <c r="K17" s="5"/>
      <c r="L17" s="3">
        <f>94+94</f>
        <v>188</v>
      </c>
      <c r="M17" s="5"/>
      <c r="N17" s="3">
        <f>94+95</f>
        <v>189</v>
      </c>
      <c r="O17" s="5"/>
      <c r="P17" s="6">
        <f>96+96</f>
        <v>192</v>
      </c>
      <c r="Q17" s="32">
        <v>2</v>
      </c>
      <c r="R17" s="6">
        <f>98+96</f>
        <v>194</v>
      </c>
      <c r="S17" s="5">
        <v>3</v>
      </c>
      <c r="T17" s="3">
        <f>94+97</f>
        <v>191</v>
      </c>
      <c r="U17" s="5">
        <v>1</v>
      </c>
      <c r="V17" s="3">
        <f>94+99</f>
        <v>193</v>
      </c>
      <c r="W17" s="5">
        <v>1</v>
      </c>
      <c r="X17" s="3">
        <f t="shared" si="3"/>
        <v>1885</v>
      </c>
      <c r="Y17" s="3">
        <f t="shared" si="4"/>
        <v>9</v>
      </c>
      <c r="Z17" s="8">
        <f t="shared" si="5"/>
        <v>188.5</v>
      </c>
    </row>
    <row r="18" spans="1:26" ht="12">
      <c r="A18" s="4" t="s">
        <v>33</v>
      </c>
      <c r="B18" s="9" t="s">
        <v>42</v>
      </c>
      <c r="C18" s="8">
        <v>96</v>
      </c>
      <c r="D18" s="3">
        <v>181</v>
      </c>
      <c r="E18" s="5"/>
      <c r="F18" s="3">
        <f>97+94</f>
        <v>191</v>
      </c>
      <c r="G18" s="5">
        <v>2</v>
      </c>
      <c r="H18" s="3">
        <v>191</v>
      </c>
      <c r="I18" s="5"/>
      <c r="J18" s="3">
        <f>97+92</f>
        <v>189</v>
      </c>
      <c r="K18" s="5">
        <v>2</v>
      </c>
      <c r="L18" s="3">
        <f>97+96</f>
        <v>193</v>
      </c>
      <c r="M18" s="5">
        <v>1</v>
      </c>
      <c r="N18" s="3">
        <v>192</v>
      </c>
      <c r="O18" s="5">
        <v>2</v>
      </c>
      <c r="P18" s="6">
        <v>184</v>
      </c>
      <c r="Q18" s="32"/>
      <c r="R18" s="6">
        <v>191</v>
      </c>
      <c r="S18" s="5">
        <v>2</v>
      </c>
      <c r="T18" s="3"/>
      <c r="U18" s="5"/>
      <c r="V18" s="3">
        <f>93+95</f>
        <v>188</v>
      </c>
      <c r="W18" s="5"/>
      <c r="X18" s="3">
        <f t="shared" si="3"/>
        <v>1700</v>
      </c>
      <c r="Y18" s="3">
        <f t="shared" si="4"/>
        <v>9</v>
      </c>
      <c r="Z18" s="8">
        <f t="shared" si="5"/>
        <v>188.88888888888889</v>
      </c>
    </row>
    <row r="19" spans="1:26" ht="12">
      <c r="A19" s="4" t="s">
        <v>14</v>
      </c>
      <c r="B19" s="9" t="s">
        <v>18</v>
      </c>
      <c r="C19" s="11">
        <v>94.8</v>
      </c>
      <c r="D19" s="3">
        <v>179</v>
      </c>
      <c r="E19" s="5"/>
      <c r="F19" s="3">
        <v>185</v>
      </c>
      <c r="G19" s="5"/>
      <c r="H19" s="3">
        <v>195</v>
      </c>
      <c r="I19" s="5">
        <v>2</v>
      </c>
      <c r="J19" s="3">
        <f>92+96</f>
        <v>188</v>
      </c>
      <c r="K19" s="5">
        <v>1</v>
      </c>
      <c r="L19" s="6">
        <f>95+93</f>
        <v>188</v>
      </c>
      <c r="M19" s="5"/>
      <c r="N19" s="3">
        <f>96+94</f>
        <v>190</v>
      </c>
      <c r="O19" s="5">
        <v>1</v>
      </c>
      <c r="P19" s="6">
        <f>93+96</f>
        <v>189</v>
      </c>
      <c r="Q19" s="32"/>
      <c r="R19" s="6">
        <f>88+91</f>
        <v>179</v>
      </c>
      <c r="S19" s="5"/>
      <c r="T19" s="3">
        <f>94+94</f>
        <v>188</v>
      </c>
      <c r="U19" s="5"/>
      <c r="V19" s="13">
        <f>91+93</f>
        <v>184</v>
      </c>
      <c r="W19" s="5"/>
      <c r="X19" s="3">
        <f t="shared" si="3"/>
        <v>1865</v>
      </c>
      <c r="Y19" s="3">
        <f t="shared" si="4"/>
        <v>4</v>
      </c>
      <c r="Z19" s="8">
        <f t="shared" si="5"/>
        <v>186.5</v>
      </c>
    </row>
    <row r="20" spans="1:26" ht="12">
      <c r="A20" s="4" t="s">
        <v>28</v>
      </c>
      <c r="B20" s="9" t="s">
        <v>31</v>
      </c>
      <c r="C20" s="11">
        <v>95.5</v>
      </c>
      <c r="D20" s="3">
        <f>83+94</f>
        <v>177</v>
      </c>
      <c r="E20" s="5"/>
      <c r="F20" s="3">
        <f>89+88</f>
        <v>177</v>
      </c>
      <c r="G20" s="5"/>
      <c r="H20" s="3">
        <f>88+91</f>
        <v>179</v>
      </c>
      <c r="I20" s="5"/>
      <c r="J20" s="3">
        <f>92+93</f>
        <v>185</v>
      </c>
      <c r="K20" s="5"/>
      <c r="L20" s="13">
        <f>93+86</f>
        <v>179</v>
      </c>
      <c r="M20" s="5"/>
      <c r="N20" s="3">
        <f>90+91</f>
        <v>181</v>
      </c>
      <c r="O20" s="5"/>
      <c r="P20" s="6">
        <f>93+90</f>
        <v>183</v>
      </c>
      <c r="Q20" s="32"/>
      <c r="R20" s="6">
        <f>88+90</f>
        <v>178</v>
      </c>
      <c r="S20" s="5"/>
      <c r="T20" s="3">
        <f>94+99</f>
        <v>193</v>
      </c>
      <c r="U20" s="5">
        <v>2</v>
      </c>
      <c r="V20" s="3">
        <f>90+86</f>
        <v>176</v>
      </c>
      <c r="W20" s="5"/>
      <c r="X20" s="3">
        <f t="shared" si="3"/>
        <v>1808</v>
      </c>
      <c r="Y20" s="3">
        <f t="shared" si="4"/>
        <v>2</v>
      </c>
      <c r="Z20" s="8">
        <f t="shared" si="5"/>
        <v>180.8</v>
      </c>
    </row>
    <row r="21" spans="1:26" ht="12">
      <c r="A21" s="1" t="s">
        <v>44</v>
      </c>
      <c r="B21" s="9"/>
      <c r="C21" s="11"/>
      <c r="D21" s="3"/>
      <c r="E21" s="5"/>
      <c r="F21" s="3"/>
      <c r="G21" s="5"/>
      <c r="H21" s="3"/>
      <c r="I21" s="5"/>
      <c r="J21" s="3"/>
      <c r="K21" s="5"/>
      <c r="L21" s="3"/>
      <c r="M21" s="5"/>
      <c r="N21" s="3"/>
      <c r="O21" s="5"/>
      <c r="P21" s="6"/>
      <c r="Q21" s="5"/>
      <c r="R21" s="6"/>
      <c r="S21" s="5"/>
      <c r="T21" s="3"/>
      <c r="U21" s="5"/>
      <c r="V21" s="13"/>
      <c r="W21" s="5"/>
      <c r="X21" s="3"/>
      <c r="Y21" s="3"/>
      <c r="Z21" s="8"/>
    </row>
    <row r="22" spans="1:26" ht="12">
      <c r="A22" s="4" t="s">
        <v>14</v>
      </c>
      <c r="B22" s="9" t="s">
        <v>19</v>
      </c>
      <c r="C22" s="11">
        <v>94.2</v>
      </c>
      <c r="D22" s="3">
        <v>198</v>
      </c>
      <c r="E22" s="5">
        <v>3</v>
      </c>
      <c r="F22" s="30">
        <v>193</v>
      </c>
      <c r="G22" s="32">
        <v>3</v>
      </c>
      <c r="H22" s="13">
        <v>196</v>
      </c>
      <c r="I22" s="5">
        <v>3</v>
      </c>
      <c r="J22" s="3">
        <v>196</v>
      </c>
      <c r="K22" s="5">
        <v>3</v>
      </c>
      <c r="L22" s="18">
        <f>100+100</f>
        <v>200</v>
      </c>
      <c r="M22" s="5">
        <v>3</v>
      </c>
      <c r="N22" s="3">
        <f>92+95</f>
        <v>187</v>
      </c>
      <c r="O22" s="5">
        <v>2</v>
      </c>
      <c r="P22" s="19">
        <f>97+96</f>
        <v>193</v>
      </c>
      <c r="Q22" s="5">
        <v>3</v>
      </c>
      <c r="R22" s="6">
        <f>97+97</f>
        <v>194</v>
      </c>
      <c r="S22" s="5">
        <v>3</v>
      </c>
      <c r="T22" s="3">
        <f>96+98</f>
        <v>194</v>
      </c>
      <c r="U22" s="5">
        <v>2</v>
      </c>
      <c r="V22" s="3">
        <f>98+100</f>
        <v>198</v>
      </c>
      <c r="W22" s="5">
        <v>3</v>
      </c>
      <c r="X22" s="3">
        <f aca="true" t="shared" si="6" ref="X22:X27">SUM(D22,H22,J22,L22,N22,P22,R22,T22,V22,F22,)</f>
        <v>1949</v>
      </c>
      <c r="Y22" s="3">
        <f aca="true" t="shared" si="7" ref="Y22:Y27">SUM(E22+G22+I22+K22+M22+O22+Q22+S22+U22+W22)</f>
        <v>28</v>
      </c>
      <c r="Z22" s="8">
        <f aca="true" t="shared" si="8" ref="Z22:Z27">IF(COUNT(D22,F22,H22,J22,L22,N22,P22,R22,T22,V22),AVERAGE(D22,F22,H22,J22,L22,N22,P22,R22,T22,V22)," ")</f>
        <v>194.9</v>
      </c>
    </row>
    <row r="23" spans="1:26" ht="12">
      <c r="A23" s="4" t="s">
        <v>14</v>
      </c>
      <c r="B23" s="9" t="s">
        <v>20</v>
      </c>
      <c r="C23" s="11">
        <v>93.8</v>
      </c>
      <c r="D23" s="3">
        <v>194</v>
      </c>
      <c r="E23" s="5">
        <v>2</v>
      </c>
      <c r="F23" s="3">
        <v>185</v>
      </c>
      <c r="G23" s="32">
        <v>2</v>
      </c>
      <c r="H23" s="3">
        <v>188</v>
      </c>
      <c r="I23" s="5">
        <v>1</v>
      </c>
      <c r="J23" s="3">
        <v>185</v>
      </c>
      <c r="K23" s="5"/>
      <c r="L23" s="3">
        <f>94+96</f>
        <v>190</v>
      </c>
      <c r="M23" s="5">
        <v>2</v>
      </c>
      <c r="N23" s="3">
        <f>95+90</f>
        <v>185</v>
      </c>
      <c r="O23" s="5">
        <v>1</v>
      </c>
      <c r="P23" s="6">
        <f>94+95</f>
        <v>189</v>
      </c>
      <c r="Q23" s="5">
        <v>1</v>
      </c>
      <c r="R23" s="6">
        <f>98+95</f>
        <v>193</v>
      </c>
      <c r="S23" s="5">
        <v>2</v>
      </c>
      <c r="T23" s="3">
        <f>97+99</f>
        <v>196</v>
      </c>
      <c r="U23" s="5">
        <v>3</v>
      </c>
      <c r="V23" s="3">
        <f>99+98</f>
        <v>197</v>
      </c>
      <c r="W23" s="5">
        <v>2</v>
      </c>
      <c r="X23" s="3">
        <f t="shared" si="6"/>
        <v>1902</v>
      </c>
      <c r="Y23" s="3">
        <f t="shared" si="7"/>
        <v>16</v>
      </c>
      <c r="Z23" s="8">
        <f t="shared" si="8"/>
        <v>190.2</v>
      </c>
    </row>
    <row r="24" spans="1:26" ht="12">
      <c r="A24" s="4" t="s">
        <v>33</v>
      </c>
      <c r="B24" s="9" t="s">
        <v>41</v>
      </c>
      <c r="C24" s="8">
        <v>91</v>
      </c>
      <c r="D24" s="3">
        <v>176</v>
      </c>
      <c r="E24" s="5"/>
      <c r="F24" s="3">
        <f>84+91</f>
        <v>175</v>
      </c>
      <c r="G24" s="32"/>
      <c r="H24" s="3">
        <v>190</v>
      </c>
      <c r="I24" s="5">
        <v>2</v>
      </c>
      <c r="J24" s="3">
        <f>94+93</f>
        <v>187</v>
      </c>
      <c r="K24" s="5">
        <v>2</v>
      </c>
      <c r="L24" s="3">
        <f>94+94</f>
        <v>188</v>
      </c>
      <c r="M24" s="5">
        <v>1</v>
      </c>
      <c r="N24" s="3">
        <v>190</v>
      </c>
      <c r="O24" s="5">
        <v>3</v>
      </c>
      <c r="P24" s="6">
        <v>188</v>
      </c>
      <c r="Q24" s="5"/>
      <c r="R24" s="6">
        <v>187</v>
      </c>
      <c r="S24" s="5">
        <v>1</v>
      </c>
      <c r="T24" s="3">
        <v>187</v>
      </c>
      <c r="U24" s="5"/>
      <c r="V24" s="3">
        <f>91+92</f>
        <v>183</v>
      </c>
      <c r="W24" s="5"/>
      <c r="X24" s="3">
        <f t="shared" si="6"/>
        <v>1851</v>
      </c>
      <c r="Y24" s="3">
        <f t="shared" si="7"/>
        <v>9</v>
      </c>
      <c r="Z24" s="8">
        <f t="shared" si="8"/>
        <v>185.1</v>
      </c>
    </row>
    <row r="25" spans="1:26" ht="12">
      <c r="A25" s="4" t="s">
        <v>28</v>
      </c>
      <c r="B25" s="9" t="s">
        <v>30</v>
      </c>
      <c r="C25" s="11">
        <v>94.3</v>
      </c>
      <c r="D25" s="13">
        <f>96+95</f>
        <v>191</v>
      </c>
      <c r="E25" s="5">
        <v>1</v>
      </c>
      <c r="F25" s="3">
        <f>96+97</f>
        <v>193</v>
      </c>
      <c r="G25" s="32">
        <v>3</v>
      </c>
      <c r="H25" s="3">
        <f>91+96</f>
        <v>187</v>
      </c>
      <c r="I25" s="5"/>
      <c r="J25" s="3">
        <f>93+91</f>
        <v>184</v>
      </c>
      <c r="K25" s="5"/>
      <c r="L25" s="3">
        <f>95+88</f>
        <v>183</v>
      </c>
      <c r="M25" s="5"/>
      <c r="N25" s="3">
        <f>94+87</f>
        <v>181</v>
      </c>
      <c r="O25" s="5"/>
      <c r="P25" s="6">
        <f>94+97</f>
        <v>191</v>
      </c>
      <c r="Q25" s="5">
        <v>2</v>
      </c>
      <c r="R25" s="6">
        <f>89+91</f>
        <v>180</v>
      </c>
      <c r="S25" s="5"/>
      <c r="T25" s="3"/>
      <c r="U25" s="5"/>
      <c r="V25" s="3"/>
      <c r="W25" s="5"/>
      <c r="X25" s="3">
        <f t="shared" si="6"/>
        <v>1490</v>
      </c>
      <c r="Y25" s="3">
        <f t="shared" si="7"/>
        <v>6</v>
      </c>
      <c r="Z25" s="8">
        <f t="shared" si="8"/>
        <v>186.25</v>
      </c>
    </row>
    <row r="26" spans="1:26" ht="12">
      <c r="A26" s="4" t="s">
        <v>14</v>
      </c>
      <c r="B26" s="9" t="s">
        <v>21</v>
      </c>
      <c r="C26" s="11">
        <v>93</v>
      </c>
      <c r="D26" s="3">
        <v>183</v>
      </c>
      <c r="E26" s="5"/>
      <c r="F26" s="3">
        <v>184</v>
      </c>
      <c r="G26" s="32">
        <v>1</v>
      </c>
      <c r="H26" s="3">
        <v>183</v>
      </c>
      <c r="I26" s="5"/>
      <c r="J26" s="3">
        <v>186</v>
      </c>
      <c r="K26" s="5">
        <v>1</v>
      </c>
      <c r="L26" s="3">
        <f>91+91</f>
        <v>182</v>
      </c>
      <c r="M26" s="5"/>
      <c r="N26" s="3">
        <f>91+94</f>
        <v>185</v>
      </c>
      <c r="O26" s="5">
        <v>1</v>
      </c>
      <c r="P26" s="6">
        <f>93+84</f>
        <v>177</v>
      </c>
      <c r="Q26" s="5"/>
      <c r="R26" s="6">
        <f>92+93</f>
        <v>185</v>
      </c>
      <c r="S26" s="5"/>
      <c r="T26" s="3">
        <f>92+96</f>
        <v>188</v>
      </c>
      <c r="U26" s="5">
        <v>1</v>
      </c>
      <c r="V26" s="3">
        <f>93+96</f>
        <v>189</v>
      </c>
      <c r="W26" s="5">
        <v>1</v>
      </c>
      <c r="X26" s="3">
        <f t="shared" si="6"/>
        <v>1842</v>
      </c>
      <c r="Y26" s="3">
        <f t="shared" si="7"/>
        <v>5</v>
      </c>
      <c r="Z26" s="8">
        <f t="shared" si="8"/>
        <v>184.2</v>
      </c>
    </row>
    <row r="27" spans="1:26" ht="12">
      <c r="A27" s="4" t="s">
        <v>33</v>
      </c>
      <c r="B27" s="9" t="s">
        <v>39</v>
      </c>
      <c r="C27" s="3">
        <v>91.3</v>
      </c>
      <c r="D27" s="3">
        <v>188</v>
      </c>
      <c r="E27" s="5"/>
      <c r="F27" s="3">
        <f>89+91</f>
        <v>180</v>
      </c>
      <c r="G27" s="32"/>
      <c r="H27" s="3">
        <v>183</v>
      </c>
      <c r="I27" s="5"/>
      <c r="J27" s="3">
        <f>95+92</f>
        <v>187</v>
      </c>
      <c r="K27" s="5">
        <v>2</v>
      </c>
      <c r="L27" s="3">
        <f>89+92</f>
        <v>181</v>
      </c>
      <c r="M27" s="5"/>
      <c r="N27" s="3">
        <v>184</v>
      </c>
      <c r="O27" s="5"/>
      <c r="P27" s="6">
        <v>181</v>
      </c>
      <c r="Q27" s="5"/>
      <c r="R27" s="6">
        <v>184</v>
      </c>
      <c r="S27" s="5"/>
      <c r="T27" s="3">
        <v>184</v>
      </c>
      <c r="U27" s="5"/>
      <c r="V27" s="3">
        <f>86+91</f>
        <v>177</v>
      </c>
      <c r="W27" s="5"/>
      <c r="X27" s="3">
        <f t="shared" si="6"/>
        <v>1829</v>
      </c>
      <c r="Y27" s="3">
        <f t="shared" si="7"/>
        <v>2</v>
      </c>
      <c r="Z27" s="8">
        <f t="shared" si="8"/>
        <v>182.9</v>
      </c>
    </row>
    <row r="28" spans="1:26" ht="12">
      <c r="A28" s="1" t="s">
        <v>45</v>
      </c>
      <c r="B28" s="9"/>
      <c r="C28" s="8"/>
      <c r="D28" s="3"/>
      <c r="E28" s="5"/>
      <c r="F28" s="22"/>
      <c r="G28" s="5"/>
      <c r="H28" s="3"/>
      <c r="I28" s="5"/>
      <c r="J28" s="3"/>
      <c r="K28" s="5"/>
      <c r="L28" s="3"/>
      <c r="M28" s="5"/>
      <c r="N28" s="3"/>
      <c r="O28" s="5"/>
      <c r="P28" s="6"/>
      <c r="Q28" s="5"/>
      <c r="R28" s="6"/>
      <c r="S28" s="5"/>
      <c r="T28" s="3"/>
      <c r="U28" s="5"/>
      <c r="V28" s="3"/>
      <c r="W28" s="5"/>
      <c r="X28" s="3"/>
      <c r="Y28" s="3"/>
      <c r="Z28" s="8"/>
    </row>
    <row r="29" spans="1:27" ht="12">
      <c r="A29" s="4" t="s">
        <v>14</v>
      </c>
      <c r="B29" s="9" t="s">
        <v>27</v>
      </c>
      <c r="C29" s="11">
        <v>89.5</v>
      </c>
      <c r="D29" s="3">
        <v>178</v>
      </c>
      <c r="E29" s="5"/>
      <c r="F29" s="3">
        <v>192</v>
      </c>
      <c r="G29" s="5">
        <v>3</v>
      </c>
      <c r="H29" s="3">
        <v>192</v>
      </c>
      <c r="I29" s="5">
        <v>3</v>
      </c>
      <c r="J29" s="3">
        <v>186</v>
      </c>
      <c r="K29" s="5">
        <v>2</v>
      </c>
      <c r="L29" s="3">
        <f>96+94</f>
        <v>190</v>
      </c>
      <c r="M29" s="5">
        <v>2</v>
      </c>
      <c r="N29" s="3">
        <f>95+96</f>
        <v>191</v>
      </c>
      <c r="O29" s="32">
        <v>3</v>
      </c>
      <c r="P29" s="6">
        <f>94+95</f>
        <v>189</v>
      </c>
      <c r="Q29" s="5">
        <v>2</v>
      </c>
      <c r="R29" s="6">
        <f>96+94</f>
        <v>190</v>
      </c>
      <c r="S29" s="5">
        <v>2</v>
      </c>
      <c r="T29" s="3">
        <f>93+96</f>
        <v>189</v>
      </c>
      <c r="U29" s="5">
        <v>1</v>
      </c>
      <c r="V29" s="3">
        <f>97+92</f>
        <v>189</v>
      </c>
      <c r="W29" s="5">
        <v>3</v>
      </c>
      <c r="X29" s="3">
        <f aca="true" t="shared" si="9" ref="X29:X34">SUM(D29,H29,J29,L29,N29,P29,R29,T29,V29,F29,)</f>
        <v>1886</v>
      </c>
      <c r="Y29" s="3">
        <f aca="true" t="shared" si="10" ref="Y29:Y34">SUM(E29+G29+I29+K29+M29+O29+Q29+S29+U29+W29)</f>
        <v>21</v>
      </c>
      <c r="Z29" s="8">
        <f aca="true" t="shared" si="11" ref="Z29:Z34">IF(COUNT(D29,F29,H29,J29,L29,N29,P29,R29,T29,V29),AVERAGE(D29,F29,H29,J29,L29,N29,P29,R29,T29,V29)," ")</f>
        <v>188.6</v>
      </c>
      <c r="AA29" s="8"/>
    </row>
    <row r="30" spans="1:26" ht="12">
      <c r="A30" s="4" t="s">
        <v>14</v>
      </c>
      <c r="B30" s="9" t="s">
        <v>23</v>
      </c>
      <c r="C30" s="11">
        <v>90.1</v>
      </c>
      <c r="D30" s="3">
        <v>189</v>
      </c>
      <c r="E30" s="5">
        <v>2</v>
      </c>
      <c r="F30" s="3">
        <v>185</v>
      </c>
      <c r="G30" s="5">
        <v>2</v>
      </c>
      <c r="H30" s="3">
        <v>182</v>
      </c>
      <c r="I30" s="5">
        <v>2</v>
      </c>
      <c r="J30" s="3">
        <v>183</v>
      </c>
      <c r="K30" s="5">
        <v>1</v>
      </c>
      <c r="L30" s="3">
        <f>95+95</f>
        <v>190</v>
      </c>
      <c r="M30" s="5">
        <v>2</v>
      </c>
      <c r="N30" s="3">
        <f>91+84</f>
        <v>175</v>
      </c>
      <c r="O30" s="32">
        <v>1</v>
      </c>
      <c r="P30" s="6">
        <f>98+96</f>
        <v>194</v>
      </c>
      <c r="Q30" s="5">
        <v>3</v>
      </c>
      <c r="R30" s="6">
        <f>91+97</f>
        <v>188</v>
      </c>
      <c r="S30" s="5"/>
      <c r="T30" s="3">
        <f>96+94</f>
        <v>190</v>
      </c>
      <c r="U30" s="5">
        <v>2</v>
      </c>
      <c r="V30" s="3">
        <f>96+91</f>
        <v>187</v>
      </c>
      <c r="W30" s="5">
        <v>1</v>
      </c>
      <c r="X30" s="3">
        <f t="shared" si="9"/>
        <v>1863</v>
      </c>
      <c r="Y30" s="3">
        <f t="shared" si="10"/>
        <v>16</v>
      </c>
      <c r="Z30" s="8">
        <f t="shared" si="11"/>
        <v>186.3</v>
      </c>
    </row>
    <row r="31" spans="1:26" ht="12">
      <c r="A31" s="4" t="s">
        <v>14</v>
      </c>
      <c r="B31" s="9" t="s">
        <v>22</v>
      </c>
      <c r="C31" s="11">
        <v>90.1</v>
      </c>
      <c r="D31" s="3">
        <v>179</v>
      </c>
      <c r="E31" s="5"/>
      <c r="F31" s="3">
        <v>192</v>
      </c>
      <c r="G31" s="5">
        <v>3</v>
      </c>
      <c r="H31" s="3">
        <v>176</v>
      </c>
      <c r="I31" s="5"/>
      <c r="J31" s="3">
        <v>189</v>
      </c>
      <c r="K31" s="5">
        <v>3</v>
      </c>
      <c r="L31" s="3">
        <f>98+97</f>
        <v>195</v>
      </c>
      <c r="M31" s="5">
        <v>3</v>
      </c>
      <c r="N31" s="3">
        <f>94+94</f>
        <v>188</v>
      </c>
      <c r="O31" s="32">
        <v>2</v>
      </c>
      <c r="P31" s="6">
        <f>93+91</f>
        <v>184</v>
      </c>
      <c r="Q31" s="5"/>
      <c r="R31" s="6">
        <f>96+93</f>
        <v>189</v>
      </c>
      <c r="S31" s="5">
        <v>1</v>
      </c>
      <c r="T31" s="13">
        <f>84+94</f>
        <v>178</v>
      </c>
      <c r="U31" s="5"/>
      <c r="V31" s="3">
        <f>94+94</f>
        <v>188</v>
      </c>
      <c r="W31" s="5">
        <v>2</v>
      </c>
      <c r="X31" s="3">
        <f t="shared" si="9"/>
        <v>1858</v>
      </c>
      <c r="Y31" s="3">
        <f t="shared" si="10"/>
        <v>14</v>
      </c>
      <c r="Z31" s="8">
        <f t="shared" si="11"/>
        <v>185.8</v>
      </c>
    </row>
    <row r="32" spans="1:26" ht="12">
      <c r="A32" s="4" t="s">
        <v>33</v>
      </c>
      <c r="B32" s="9" t="s">
        <v>37</v>
      </c>
      <c r="C32" s="8">
        <v>89</v>
      </c>
      <c r="D32" s="3">
        <v>190</v>
      </c>
      <c r="E32" s="4">
        <v>3</v>
      </c>
      <c r="F32" s="3">
        <f>90+95</f>
        <v>185</v>
      </c>
      <c r="G32" s="5">
        <v>2</v>
      </c>
      <c r="H32" s="3">
        <v>181</v>
      </c>
      <c r="I32" s="3">
        <v>1</v>
      </c>
      <c r="J32" s="3">
        <f>94+87</f>
        <v>181</v>
      </c>
      <c r="K32" s="5"/>
      <c r="L32" s="3">
        <f>88+85</f>
        <v>173</v>
      </c>
      <c r="M32" s="5"/>
      <c r="N32" s="3">
        <v>191</v>
      </c>
      <c r="O32" s="32">
        <v>3</v>
      </c>
      <c r="P32" s="6">
        <v>185</v>
      </c>
      <c r="Q32" s="5">
        <v>1</v>
      </c>
      <c r="R32" s="6">
        <v>176</v>
      </c>
      <c r="T32" s="13">
        <v>191</v>
      </c>
      <c r="U32" s="14">
        <v>3</v>
      </c>
      <c r="V32" s="3">
        <f>91+91</f>
        <v>182</v>
      </c>
      <c r="W32" s="4"/>
      <c r="X32" s="3">
        <f t="shared" si="9"/>
        <v>1835</v>
      </c>
      <c r="Y32" s="3">
        <f t="shared" si="10"/>
        <v>13</v>
      </c>
      <c r="Z32" s="8">
        <f t="shared" si="11"/>
        <v>183.5</v>
      </c>
    </row>
    <row r="33" spans="1:26" ht="12">
      <c r="A33" s="4" t="s">
        <v>14</v>
      </c>
      <c r="B33" s="9" t="s">
        <v>47</v>
      </c>
      <c r="C33" s="11">
        <v>87.2</v>
      </c>
      <c r="D33" s="3">
        <v>187</v>
      </c>
      <c r="E33">
        <v>1</v>
      </c>
      <c r="F33" s="3">
        <v>184</v>
      </c>
      <c r="G33" s="5">
        <v>1</v>
      </c>
      <c r="H33" s="3">
        <v>192</v>
      </c>
      <c r="I33" s="5">
        <v>3</v>
      </c>
      <c r="J33" s="3">
        <v>174</v>
      </c>
      <c r="L33" s="3">
        <f>93+95</f>
        <v>188</v>
      </c>
      <c r="M33" s="5">
        <v>1</v>
      </c>
      <c r="N33" s="30">
        <v>191</v>
      </c>
      <c r="O33" s="32">
        <v>3</v>
      </c>
      <c r="P33" s="3">
        <f>97+87</f>
        <v>184</v>
      </c>
      <c r="R33" s="6">
        <f>94+97</f>
        <v>191</v>
      </c>
      <c r="S33">
        <v>3</v>
      </c>
      <c r="T33" s="3">
        <f>95+93</f>
        <v>188</v>
      </c>
      <c r="U33" s="4"/>
      <c r="V33" s="3">
        <f>92+93</f>
        <v>185</v>
      </c>
      <c r="W33" s="4"/>
      <c r="X33" s="3">
        <f t="shared" si="9"/>
        <v>1864</v>
      </c>
      <c r="Y33" s="3">
        <f t="shared" si="10"/>
        <v>12</v>
      </c>
      <c r="Z33" s="8">
        <f t="shared" si="11"/>
        <v>186.4</v>
      </c>
    </row>
    <row r="34" spans="1:26" ht="12">
      <c r="A34" s="4" t="s">
        <v>14</v>
      </c>
      <c r="B34" s="9" t="s">
        <v>48</v>
      </c>
      <c r="C34" s="11">
        <v>87.1</v>
      </c>
      <c r="D34" s="3">
        <v>165</v>
      </c>
      <c r="F34" s="3">
        <v>179</v>
      </c>
      <c r="H34" s="3">
        <v>178</v>
      </c>
      <c r="J34" s="3">
        <v>177</v>
      </c>
      <c r="L34" s="3">
        <f>89+92</f>
        <v>181</v>
      </c>
      <c r="M34" s="5"/>
      <c r="N34" s="3">
        <f>85+86</f>
        <v>171</v>
      </c>
      <c r="O34" s="32"/>
      <c r="P34" s="3">
        <f>84+89</f>
        <v>173</v>
      </c>
      <c r="R34" s="6">
        <f>86+92</f>
        <v>178</v>
      </c>
      <c r="T34" s="3">
        <f>89+85</f>
        <v>174</v>
      </c>
      <c r="U34" s="4"/>
      <c r="V34" s="3">
        <f>89+85</f>
        <v>174</v>
      </c>
      <c r="W34" s="4"/>
      <c r="X34" s="3">
        <f t="shared" si="9"/>
        <v>1750</v>
      </c>
      <c r="Y34" s="3">
        <f t="shared" si="10"/>
        <v>0</v>
      </c>
      <c r="Z34" s="8">
        <f t="shared" si="11"/>
        <v>175</v>
      </c>
    </row>
    <row r="35" spans="1:26" ht="12">
      <c r="A35" s="1" t="s">
        <v>46</v>
      </c>
      <c r="B35" s="1"/>
      <c r="C35" s="2"/>
      <c r="D35" s="7"/>
      <c r="E35" s="7"/>
      <c r="F35" s="25"/>
      <c r="G35" s="7"/>
      <c r="H35" s="7"/>
      <c r="I35" s="7"/>
      <c r="J35" s="7"/>
      <c r="K35" s="7"/>
      <c r="L35" s="7"/>
      <c r="M35" s="31"/>
      <c r="N35" s="7"/>
      <c r="O35" s="31"/>
      <c r="P35" s="7"/>
      <c r="Q35" s="7"/>
      <c r="R35" s="7"/>
      <c r="S35" s="7"/>
      <c r="T35" s="7"/>
      <c r="U35" s="31"/>
      <c r="V35" s="7"/>
      <c r="W35" s="31"/>
      <c r="X35" s="2"/>
      <c r="Y35" s="2"/>
      <c r="Z35" s="2"/>
    </row>
    <row r="36" spans="1:26" ht="12">
      <c r="A36" s="4" t="s">
        <v>12</v>
      </c>
      <c r="B36" s="9" t="s">
        <v>13</v>
      </c>
      <c r="C36" s="11">
        <v>80</v>
      </c>
      <c r="D36" s="22">
        <v>181</v>
      </c>
      <c r="E36" s="23">
        <v>2</v>
      </c>
      <c r="F36" s="3">
        <v>169</v>
      </c>
      <c r="G36" s="5">
        <v>2</v>
      </c>
      <c r="H36" s="3">
        <f>91+90</f>
        <v>181</v>
      </c>
      <c r="I36" s="23">
        <v>2</v>
      </c>
      <c r="J36" s="27">
        <f>87+90</f>
        <v>177</v>
      </c>
      <c r="K36" s="5">
        <v>2</v>
      </c>
      <c r="L36" s="22">
        <f>93+93</f>
        <v>186</v>
      </c>
      <c r="M36" s="5">
        <v>3</v>
      </c>
      <c r="N36" s="3">
        <f>92+89</f>
        <v>181</v>
      </c>
      <c r="O36" s="5">
        <v>3</v>
      </c>
      <c r="P36" s="33">
        <f>92+91</f>
        <v>183</v>
      </c>
      <c r="Q36" s="5">
        <v>3</v>
      </c>
      <c r="R36" s="3">
        <f>88+95</f>
        <v>183</v>
      </c>
      <c r="S36" s="23">
        <v>3</v>
      </c>
      <c r="T36" s="3">
        <f>90+95</f>
        <v>185</v>
      </c>
      <c r="U36" s="23">
        <v>2</v>
      </c>
      <c r="V36" s="3">
        <f>94+93</f>
        <v>187</v>
      </c>
      <c r="W36" s="23">
        <v>3</v>
      </c>
      <c r="X36" s="3">
        <f>SUM(D36,H36,J36,L36,N36,P36,R36,T36,V36,F36,)</f>
        <v>1813</v>
      </c>
      <c r="Y36" s="3">
        <f>SUM(E36+G36+I36+K36+M36+O36+Q36+S36+U36+W36)</f>
        <v>25</v>
      </c>
      <c r="Z36" s="8">
        <f>IF(COUNT(D36,F36,H36,J36,L36,N36,P36,R36,T36,V36),AVERAGE(D36,F36,H36,J36,L36,N36,P36,R36,T36,V36)," ")</f>
        <v>181.3</v>
      </c>
    </row>
    <row r="37" spans="1:26" ht="12">
      <c r="A37" s="4" t="s">
        <v>33</v>
      </c>
      <c r="B37" s="9" t="s">
        <v>38</v>
      </c>
      <c r="C37" s="3">
        <v>83.9</v>
      </c>
      <c r="D37" s="22">
        <v>187</v>
      </c>
      <c r="E37" s="23">
        <v>3</v>
      </c>
      <c r="F37" s="3">
        <f>86+92</f>
        <v>178</v>
      </c>
      <c r="G37" s="5">
        <v>3</v>
      </c>
      <c r="H37" s="3">
        <v>177</v>
      </c>
      <c r="I37" s="23">
        <v>1</v>
      </c>
      <c r="J37" s="3">
        <f>90+90</f>
        <v>180</v>
      </c>
      <c r="K37" s="5">
        <v>3</v>
      </c>
      <c r="L37" s="22">
        <f>92+89</f>
        <v>181</v>
      </c>
      <c r="M37" s="5">
        <v>2</v>
      </c>
      <c r="N37" s="3">
        <v>172</v>
      </c>
      <c r="O37" s="5">
        <v>1</v>
      </c>
      <c r="P37" s="26">
        <v>178</v>
      </c>
      <c r="Q37" s="5">
        <v>1</v>
      </c>
      <c r="R37" s="26">
        <v>176</v>
      </c>
      <c r="S37" s="5">
        <v>1</v>
      </c>
      <c r="T37" s="26">
        <v>186</v>
      </c>
      <c r="U37" s="23">
        <v>3</v>
      </c>
      <c r="V37" s="3">
        <f>84+81</f>
        <v>165</v>
      </c>
      <c r="W37" s="23"/>
      <c r="X37" s="3">
        <f>SUM(D37,H37,J37,L37,N37,P37,R37,T37,V37,F37,)</f>
        <v>1780</v>
      </c>
      <c r="Y37" s="3">
        <f>SUM(E37+G37+I37+K37+M37+O37+Q37+S37+U37+W37)</f>
        <v>18</v>
      </c>
      <c r="Z37" s="8">
        <f>IF(COUNT(D37,F37,H37,J37,L37,N37,P37,R37,T37,V37),AVERAGE(D37,F37,H37,J37,L37,N37,P37,R37,T37,V37)," ")</f>
        <v>178</v>
      </c>
    </row>
    <row r="38" spans="1:26" ht="12">
      <c r="A38" s="4" t="s">
        <v>14</v>
      </c>
      <c r="B38" s="9" t="s">
        <v>24</v>
      </c>
      <c r="C38" s="11">
        <v>84.9</v>
      </c>
      <c r="D38" s="22">
        <v>143</v>
      </c>
      <c r="E38" s="23"/>
      <c r="F38" s="3">
        <v>158</v>
      </c>
      <c r="G38" s="23"/>
      <c r="H38" s="3">
        <v>158</v>
      </c>
      <c r="I38" s="23"/>
      <c r="J38" s="3">
        <v>175</v>
      </c>
      <c r="K38" s="23">
        <v>1</v>
      </c>
      <c r="L38" s="22">
        <f>83+91</f>
        <v>174</v>
      </c>
      <c r="M38" s="5">
        <v>1</v>
      </c>
      <c r="N38" s="3">
        <f>85+86</f>
        <v>171</v>
      </c>
      <c r="O38" s="5"/>
      <c r="P38" s="6">
        <f>92+90</f>
        <v>182</v>
      </c>
      <c r="Q38" s="5">
        <v>2</v>
      </c>
      <c r="R38" s="24">
        <f>86+93</f>
        <v>179</v>
      </c>
      <c r="S38" s="23">
        <v>2</v>
      </c>
      <c r="T38" s="3">
        <f>91+90</f>
        <v>181</v>
      </c>
      <c r="U38" s="23">
        <v>1</v>
      </c>
      <c r="V38" s="3">
        <f>92+87</f>
        <v>179</v>
      </c>
      <c r="W38" s="23">
        <v>2</v>
      </c>
      <c r="X38" s="3">
        <f>SUM(D38,H38,J38,L38,N38,P38,R38,T38,V38,F38,)</f>
        <v>1700</v>
      </c>
      <c r="Y38" s="3">
        <f>SUM(E38+G38+I38+K38+M38+O38+Q38+S38+U38+W38)</f>
        <v>9</v>
      </c>
      <c r="Z38" s="8">
        <f>IF(COUNT(D38,F38,H38,J38,L38,N38,P38,R38,T38,V38),AVERAGE(D38,F38,H38,J38,L38,N38,P38,R38,T38,V38)," ")</f>
        <v>170</v>
      </c>
    </row>
    <row r="39" spans="1:26" ht="12">
      <c r="A39" s="4" t="s">
        <v>14</v>
      </c>
      <c r="B39" s="9" t="s">
        <v>26</v>
      </c>
      <c r="C39" s="11">
        <v>71.8</v>
      </c>
      <c r="D39" s="22">
        <v>174</v>
      </c>
      <c r="E39" s="23">
        <v>1</v>
      </c>
      <c r="F39" s="3">
        <v>163</v>
      </c>
      <c r="G39" s="5">
        <v>1</v>
      </c>
      <c r="H39" s="3">
        <v>182</v>
      </c>
      <c r="I39" s="23">
        <v>3</v>
      </c>
      <c r="J39" s="3">
        <v>171</v>
      </c>
      <c r="K39" s="23"/>
      <c r="L39" s="22">
        <f>89+74</f>
        <v>163</v>
      </c>
      <c r="M39" s="5"/>
      <c r="N39" s="3">
        <f>88+88</f>
        <v>176</v>
      </c>
      <c r="O39" s="5">
        <v>2</v>
      </c>
      <c r="P39" s="3">
        <f>77+82</f>
        <v>159</v>
      </c>
      <c r="Q39" s="22"/>
      <c r="R39" s="22">
        <f>82+84</f>
        <v>166</v>
      </c>
      <c r="S39" s="22"/>
      <c r="T39" s="3">
        <f>91+84</f>
        <v>175</v>
      </c>
      <c r="U39" s="23"/>
      <c r="V39" s="3"/>
      <c r="W39" s="23"/>
      <c r="X39" s="3">
        <f>SUM(D39,H39,J39,L39,N39,P39,R39,T39,V39,F39,)</f>
        <v>1529</v>
      </c>
      <c r="Y39" s="3">
        <f>SUM(E39+G39+I39+K39+M39+O39+Q39+S39+U39+W39)</f>
        <v>7</v>
      </c>
      <c r="Z39" s="8">
        <f>IF(COUNT(D39,F39,H39,J39,L39,N39,P39,R39,T39,V39),AVERAGE(D39,F39,H39,J39,L39,N39,P39,R39,T39,V39)," ")</f>
        <v>169.88888888888889</v>
      </c>
    </row>
    <row r="40" spans="1:26" ht="12">
      <c r="A40" s="4" t="s">
        <v>14</v>
      </c>
      <c r="B40" s="9" t="s">
        <v>25</v>
      </c>
      <c r="C40" s="11">
        <v>84.6</v>
      </c>
      <c r="D40" s="22">
        <f>79+80</f>
        <v>159</v>
      </c>
      <c r="E40" s="22"/>
      <c r="F40" s="3">
        <v>156</v>
      </c>
      <c r="G40" s="22"/>
      <c r="H40" s="3">
        <v>153</v>
      </c>
      <c r="I40" s="22"/>
      <c r="J40" s="3">
        <v>146</v>
      </c>
      <c r="K40" s="22"/>
      <c r="L40" s="22">
        <f>81+74</f>
        <v>155</v>
      </c>
      <c r="M40" s="5"/>
      <c r="N40" s="3">
        <f>81+71</f>
        <v>152</v>
      </c>
      <c r="O40" s="5"/>
      <c r="P40" s="3">
        <f>70+95</f>
        <v>165</v>
      </c>
      <c r="Q40" s="22"/>
      <c r="R40" s="22">
        <f>87+74</f>
        <v>161</v>
      </c>
      <c r="S40" s="22"/>
      <c r="T40" s="3">
        <f>91+86</f>
        <v>177</v>
      </c>
      <c r="U40" s="23"/>
      <c r="V40" s="3">
        <f>81+88</f>
        <v>169</v>
      </c>
      <c r="W40" s="23">
        <v>1</v>
      </c>
      <c r="X40" s="3">
        <f>SUM(D40,H40,J40,L40,N40,P40,R40,T40,V40,F40,)</f>
        <v>1593</v>
      </c>
      <c r="Y40" s="3">
        <f>SUM(E40+G40+I40+K40+M40+O40+Q40+S40+U40+W40)</f>
        <v>1</v>
      </c>
      <c r="Z40" s="8">
        <f>IF(COUNT(D40,F40,H40,J40,L40,N40,P40,R40,T40,V40),AVERAGE(D40,F40,H40,J40,L40,N40,P40,R40,T40,V40)," ")</f>
        <v>159.3</v>
      </c>
    </row>
    <row r="41" ht="12">
      <c r="C41" s="11"/>
    </row>
    <row r="42" ht="12">
      <c r="C42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2018-03-23T14:18:43Z</cp:lastPrinted>
  <dcterms:created xsi:type="dcterms:W3CDTF">2009-09-26T18:03:40Z</dcterms:created>
  <dcterms:modified xsi:type="dcterms:W3CDTF">2018-03-23T20:05:40Z</dcterms:modified>
  <cp:category/>
  <cp:version/>
  <cp:contentType/>
  <cp:contentStatus/>
</cp:coreProperties>
</file>